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7566\Downloads\"/>
    </mc:Choice>
  </mc:AlternateContent>
  <workbookProtection workbookAlgorithmName="SHA-512" workbookHashValue="XH3IDCqF0Z8gBm5a59gyCooDcjpxTSN0tzrSb81uiQQpbDZutRuR55k8JZ5UDWA+e+waixMdnclaVVFW3vKrVQ==" workbookSaltValue="p8PnRfs5foPHwuYCRIVnQg==" workbookSpinCount="100000" lockStructure="1"/>
  <bookViews>
    <workbookView xWindow="-120" yWindow="-120" windowWidth="29040" windowHeight="15720"/>
  </bookViews>
  <sheets>
    <sheet name="入力画面" sheetId="15" r:id="rId1"/>
    <sheet name="給与所得計算表" sheetId="4" state="hidden" r:id="rId2"/>
    <sheet name="プルダウン" sheetId="16" state="hidden" r:id="rId3"/>
  </sheets>
  <definedNames>
    <definedName name="_xlnm.Print_Area" localSheetId="0">入力画面!$A$1:$AZ$37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4" l="1"/>
  <c r="P52" i="4"/>
  <c r="P51" i="4"/>
  <c r="P50" i="4"/>
  <c r="P49" i="4"/>
  <c r="P48" i="4"/>
  <c r="P47" i="4"/>
  <c r="P46" i="4"/>
  <c r="P45" i="4"/>
  <c r="P44" i="4"/>
  <c r="L53" i="4"/>
  <c r="L52" i="4"/>
  <c r="L51" i="4"/>
  <c r="L50" i="4"/>
  <c r="L49" i="4"/>
  <c r="L48" i="4"/>
  <c r="L47" i="4"/>
  <c r="L46" i="4"/>
  <c r="L45" i="4"/>
  <c r="L44" i="4"/>
  <c r="P22" i="4"/>
  <c r="L22" i="4"/>
  <c r="G8" i="16" l="1"/>
  <c r="G7" i="16"/>
  <c r="G6" i="16" l="1"/>
  <c r="B80" i="4" l="1"/>
  <c r="B79" i="4"/>
  <c r="B67" i="4"/>
  <c r="B66" i="4"/>
  <c r="B54" i="4"/>
  <c r="B53" i="4"/>
  <c r="B41" i="4"/>
  <c r="B40" i="4"/>
  <c r="B28" i="4"/>
  <c r="B27" i="4"/>
  <c r="N20" i="16" l="1"/>
  <c r="N19" i="16"/>
  <c r="J20" i="16"/>
  <c r="J19" i="16"/>
  <c r="F20" i="16"/>
  <c r="F19" i="16"/>
  <c r="P71" i="4"/>
  <c r="P70" i="4"/>
  <c r="P58" i="4"/>
  <c r="P57" i="4"/>
  <c r="P32" i="4"/>
  <c r="P31" i="4"/>
  <c r="P20" i="4"/>
  <c r="P19" i="4"/>
  <c r="P18" i="4"/>
  <c r="P6" i="4"/>
  <c r="P5" i="4"/>
  <c r="L71" i="4"/>
  <c r="L70" i="4"/>
  <c r="L58" i="4"/>
  <c r="L57" i="4"/>
  <c r="L32" i="4"/>
  <c r="L31" i="4"/>
  <c r="L19" i="4"/>
  <c r="L18" i="4"/>
  <c r="L6" i="4"/>
  <c r="L5" i="4"/>
  <c r="H5" i="4"/>
  <c r="H71" i="4"/>
  <c r="H70" i="4"/>
  <c r="H58" i="4"/>
  <c r="H57" i="4"/>
  <c r="H45" i="4"/>
  <c r="H44" i="4"/>
  <c r="H32" i="4"/>
  <c r="H31" i="4"/>
  <c r="H19" i="4"/>
  <c r="H18" i="4"/>
  <c r="H6" i="4"/>
  <c r="B71" i="4"/>
  <c r="B70" i="4"/>
  <c r="B58" i="4"/>
  <c r="B57" i="4"/>
  <c r="B45" i="4"/>
  <c r="B44" i="4"/>
  <c r="B32" i="4"/>
  <c r="B31" i="4"/>
  <c r="B19" i="4"/>
  <c r="B18" i="4"/>
  <c r="B6" i="4"/>
  <c r="B5" i="4"/>
  <c r="AF13" i="15" l="1"/>
  <c r="AF12" i="15"/>
  <c r="AE12" i="15"/>
  <c r="AE13" i="15"/>
  <c r="N28" i="16"/>
  <c r="J28" i="16"/>
  <c r="F28" i="16"/>
  <c r="N27" i="16"/>
  <c r="J27" i="16"/>
  <c r="F27" i="16"/>
  <c r="N26" i="16"/>
  <c r="J26" i="16"/>
  <c r="F26" i="16"/>
  <c r="N25" i="16"/>
  <c r="J25" i="16"/>
  <c r="F25" i="16"/>
  <c r="N24" i="16"/>
  <c r="J24" i="16"/>
  <c r="F24" i="16"/>
  <c r="N23" i="16"/>
  <c r="J23" i="16"/>
  <c r="F23" i="16"/>
  <c r="N22" i="16"/>
  <c r="J22" i="16"/>
  <c r="F22" i="16"/>
  <c r="N21" i="16"/>
  <c r="J21" i="16"/>
  <c r="F21" i="16"/>
  <c r="P79" i="4"/>
  <c r="L79" i="4"/>
  <c r="H79" i="4"/>
  <c r="P78" i="4"/>
  <c r="L78" i="4"/>
  <c r="H78" i="4"/>
  <c r="P77" i="4"/>
  <c r="L77" i="4"/>
  <c r="H77" i="4"/>
  <c r="P76" i="4"/>
  <c r="L76" i="4"/>
  <c r="H76" i="4"/>
  <c r="P75" i="4"/>
  <c r="L75" i="4"/>
  <c r="H75" i="4"/>
  <c r="P74" i="4"/>
  <c r="L74" i="4"/>
  <c r="H74" i="4"/>
  <c r="P73" i="4"/>
  <c r="L73" i="4"/>
  <c r="H73" i="4"/>
  <c r="P72" i="4"/>
  <c r="L72" i="4"/>
  <c r="H72" i="4"/>
  <c r="P66" i="4"/>
  <c r="L66" i="4"/>
  <c r="H66" i="4"/>
  <c r="P65" i="4"/>
  <c r="L65" i="4"/>
  <c r="H65" i="4"/>
  <c r="P64" i="4"/>
  <c r="L64" i="4"/>
  <c r="H64" i="4"/>
  <c r="P63" i="4"/>
  <c r="L63" i="4"/>
  <c r="H63" i="4"/>
  <c r="P62" i="4"/>
  <c r="L62" i="4"/>
  <c r="H62" i="4"/>
  <c r="P61" i="4"/>
  <c r="L61" i="4"/>
  <c r="H61" i="4"/>
  <c r="P60" i="4"/>
  <c r="L60" i="4"/>
  <c r="H60" i="4"/>
  <c r="P59" i="4"/>
  <c r="L59" i="4"/>
  <c r="H59" i="4"/>
  <c r="P40" i="4"/>
  <c r="L40" i="4"/>
  <c r="H40" i="4"/>
  <c r="P39" i="4"/>
  <c r="L39" i="4"/>
  <c r="H39" i="4"/>
  <c r="P38" i="4"/>
  <c r="L38" i="4"/>
  <c r="H38" i="4"/>
  <c r="P37" i="4"/>
  <c r="L37" i="4"/>
  <c r="H37" i="4"/>
  <c r="P36" i="4"/>
  <c r="L36" i="4"/>
  <c r="H36" i="4"/>
  <c r="P35" i="4"/>
  <c r="L35" i="4"/>
  <c r="H35" i="4"/>
  <c r="G5" i="16" s="1"/>
  <c r="P34" i="4"/>
  <c r="L34" i="4"/>
  <c r="H34" i="4"/>
  <c r="P33" i="4"/>
  <c r="L33" i="4"/>
  <c r="H33" i="4"/>
  <c r="P27" i="4"/>
  <c r="L27" i="4"/>
  <c r="H27" i="4"/>
  <c r="P26" i="4"/>
  <c r="L26" i="4"/>
  <c r="H26" i="4"/>
  <c r="P25" i="4"/>
  <c r="L25" i="4"/>
  <c r="H25" i="4"/>
  <c r="P24" i="4"/>
  <c r="L24" i="4"/>
  <c r="H24" i="4"/>
  <c r="P23" i="4"/>
  <c r="L23" i="4"/>
  <c r="H23" i="4"/>
  <c r="P21" i="4"/>
  <c r="L21" i="4"/>
  <c r="H21" i="4"/>
  <c r="H20" i="4"/>
  <c r="L20" i="4"/>
  <c r="P14" i="4"/>
  <c r="L14" i="4"/>
  <c r="H14" i="4"/>
  <c r="L7" i="4"/>
  <c r="L8" i="4"/>
  <c r="L9" i="4"/>
  <c r="L10" i="4"/>
  <c r="L11" i="4"/>
  <c r="L12" i="4"/>
  <c r="L13" i="4"/>
  <c r="P7" i="4"/>
  <c r="P8" i="4"/>
  <c r="P9" i="4"/>
  <c r="P10" i="4"/>
  <c r="P11" i="4"/>
  <c r="P12" i="4"/>
  <c r="P13" i="4"/>
  <c r="H53" i="4"/>
  <c r="H52" i="4"/>
  <c r="H51" i="4"/>
  <c r="H50" i="4"/>
  <c r="H49" i="4"/>
  <c r="H48" i="4"/>
  <c r="H47" i="4"/>
  <c r="H46" i="4"/>
  <c r="H13" i="4"/>
  <c r="H22" i="4"/>
  <c r="AD29" i="15" l="1"/>
  <c r="Y32" i="15" s="1"/>
  <c r="AE14" i="15"/>
  <c r="AG12" i="15"/>
  <c r="B15" i="4" l="1"/>
  <c r="B14" i="4"/>
  <c r="D15" i="4"/>
  <c r="D26" i="4" l="1"/>
  <c r="D25" i="4"/>
  <c r="D24" i="4"/>
  <c r="D11" i="4"/>
  <c r="D12" i="4"/>
  <c r="D13" i="4"/>
  <c r="Q79" i="4" l="1"/>
  <c r="M79" i="4"/>
  <c r="I79" i="4"/>
  <c r="Q78" i="4"/>
  <c r="M78" i="4"/>
  <c r="I78" i="4"/>
  <c r="Q77" i="4"/>
  <c r="M77" i="4"/>
  <c r="I77" i="4"/>
  <c r="Q76" i="4"/>
  <c r="M76" i="4"/>
  <c r="I76" i="4"/>
  <c r="Q75" i="4"/>
  <c r="M75" i="4"/>
  <c r="I75" i="4"/>
  <c r="Q74" i="4"/>
  <c r="M74" i="4"/>
  <c r="I74" i="4"/>
  <c r="Q73" i="4"/>
  <c r="M73" i="4"/>
  <c r="I73" i="4"/>
  <c r="Q72" i="4"/>
  <c r="M72" i="4"/>
  <c r="I72" i="4"/>
  <c r="Q71" i="4"/>
  <c r="M71" i="4"/>
  <c r="I71" i="4"/>
  <c r="Q70" i="4"/>
  <c r="M70" i="4"/>
  <c r="I70" i="4"/>
  <c r="Q66" i="4"/>
  <c r="M66" i="4"/>
  <c r="I66" i="4"/>
  <c r="Q65" i="4"/>
  <c r="M65" i="4"/>
  <c r="I65" i="4"/>
  <c r="Q64" i="4"/>
  <c r="M64" i="4"/>
  <c r="I64" i="4"/>
  <c r="Q63" i="4"/>
  <c r="M63" i="4"/>
  <c r="I63" i="4"/>
  <c r="Q62" i="4"/>
  <c r="M62" i="4"/>
  <c r="I62" i="4"/>
  <c r="Q61" i="4"/>
  <c r="M61" i="4"/>
  <c r="I61" i="4"/>
  <c r="Q60" i="4"/>
  <c r="M60" i="4"/>
  <c r="I60" i="4"/>
  <c r="Q59" i="4"/>
  <c r="M59" i="4"/>
  <c r="I59" i="4"/>
  <c r="Q58" i="4"/>
  <c r="M58" i="4"/>
  <c r="I58" i="4"/>
  <c r="Q57" i="4"/>
  <c r="M57" i="4"/>
  <c r="I57" i="4"/>
  <c r="Q53" i="4"/>
  <c r="M53" i="4"/>
  <c r="Q52" i="4"/>
  <c r="M52" i="4"/>
  <c r="Q51" i="4"/>
  <c r="M51" i="4"/>
  <c r="Q50" i="4"/>
  <c r="M50" i="4"/>
  <c r="Q49" i="4"/>
  <c r="M49" i="4"/>
  <c r="Q48" i="4"/>
  <c r="M48" i="4"/>
  <c r="Q47" i="4"/>
  <c r="M47" i="4"/>
  <c r="Q46" i="4"/>
  <c r="M46" i="4"/>
  <c r="Q45" i="4"/>
  <c r="Q44" i="4"/>
  <c r="M45" i="4"/>
  <c r="M44" i="4"/>
  <c r="I53" i="4"/>
  <c r="I52" i="4"/>
  <c r="I51" i="4"/>
  <c r="I50" i="4"/>
  <c r="I49" i="4"/>
  <c r="I48" i="4"/>
  <c r="I47" i="4"/>
  <c r="I46" i="4"/>
  <c r="I45" i="4"/>
  <c r="I44" i="4"/>
  <c r="Q40" i="4"/>
  <c r="Q39" i="4"/>
  <c r="Q38" i="4"/>
  <c r="Q37" i="4"/>
  <c r="Q36" i="4"/>
  <c r="Q35" i="4"/>
  <c r="Q34" i="4"/>
  <c r="Q33" i="4"/>
  <c r="Q32" i="4"/>
  <c r="Q31" i="4"/>
  <c r="M40" i="4"/>
  <c r="M39" i="4"/>
  <c r="M38" i="4"/>
  <c r="M37" i="4"/>
  <c r="M36" i="4"/>
  <c r="M35" i="4"/>
  <c r="M34" i="4"/>
  <c r="M33" i="4"/>
  <c r="M32" i="4"/>
  <c r="M31" i="4"/>
  <c r="I40" i="4"/>
  <c r="I39" i="4"/>
  <c r="I38" i="4"/>
  <c r="I37" i="4"/>
  <c r="I36" i="4"/>
  <c r="I35" i="4"/>
  <c r="I34" i="4"/>
  <c r="I33" i="4"/>
  <c r="I32" i="4"/>
  <c r="I31" i="4"/>
  <c r="I27" i="4"/>
  <c r="I26" i="4"/>
  <c r="I25" i="4"/>
  <c r="I24" i="4"/>
  <c r="I23" i="4"/>
  <c r="I22" i="4"/>
  <c r="I21" i="4"/>
  <c r="I20" i="4"/>
  <c r="I19" i="4"/>
  <c r="I18" i="4"/>
  <c r="Q27" i="4" l="1"/>
  <c r="Q26" i="4"/>
  <c r="Q25" i="4"/>
  <c r="Q24" i="4"/>
  <c r="Q23" i="4"/>
  <c r="Q22" i="4"/>
  <c r="Q21" i="4"/>
  <c r="Q20" i="4"/>
  <c r="Q19" i="4"/>
  <c r="Q18" i="4"/>
  <c r="M27" i="4"/>
  <c r="M26" i="4"/>
  <c r="M25" i="4"/>
  <c r="M24" i="4"/>
  <c r="M23" i="4"/>
  <c r="M22" i="4"/>
  <c r="M21" i="4"/>
  <c r="M20" i="4"/>
  <c r="M19" i="4"/>
  <c r="M18" i="4"/>
  <c r="O28" i="16" l="1"/>
  <c r="K28" i="16"/>
  <c r="G28" i="16"/>
  <c r="O27" i="16"/>
  <c r="K27" i="16"/>
  <c r="G27" i="16"/>
  <c r="O26" i="16"/>
  <c r="K26" i="16"/>
  <c r="G26" i="16"/>
  <c r="O25" i="16"/>
  <c r="K25" i="16"/>
  <c r="G25" i="16"/>
  <c r="O24" i="16"/>
  <c r="K24" i="16"/>
  <c r="G24" i="16"/>
  <c r="O23" i="16"/>
  <c r="K23" i="16"/>
  <c r="G23" i="16"/>
  <c r="O22" i="16"/>
  <c r="K22" i="16"/>
  <c r="G22" i="16"/>
  <c r="O21" i="16"/>
  <c r="K21" i="16"/>
  <c r="G21" i="16"/>
  <c r="O20" i="16"/>
  <c r="K20" i="16"/>
  <c r="G20" i="16"/>
  <c r="O19" i="16"/>
  <c r="K19" i="16"/>
  <c r="G19" i="16"/>
  <c r="H8" i="4"/>
  <c r="H7" i="4"/>
  <c r="H12" i="4"/>
  <c r="H9" i="4"/>
  <c r="Q14" i="4"/>
  <c r="Q13" i="4"/>
  <c r="Q12" i="4"/>
  <c r="Q11" i="4"/>
  <c r="Q10" i="4"/>
  <c r="Q9" i="4"/>
  <c r="Q8" i="4"/>
  <c r="Q7" i="4"/>
  <c r="Q6" i="4"/>
  <c r="Q5" i="4"/>
  <c r="M14" i="4"/>
  <c r="M13" i="4"/>
  <c r="M12" i="4"/>
  <c r="M11" i="4"/>
  <c r="M10" i="4"/>
  <c r="M9" i="4"/>
  <c r="M8" i="4"/>
  <c r="M6" i="4"/>
  <c r="M5" i="4"/>
  <c r="M7" i="4"/>
  <c r="I14" i="4"/>
  <c r="I13" i="4"/>
  <c r="I12" i="4"/>
  <c r="I11" i="4"/>
  <c r="I10" i="4"/>
  <c r="I9" i="4"/>
  <c r="I5" i="4"/>
  <c r="I8" i="4"/>
  <c r="I7" i="4"/>
  <c r="I6" i="4"/>
  <c r="D27" i="4" l="1"/>
  <c r="D14" i="4"/>
  <c r="D79" i="4"/>
  <c r="D78" i="4"/>
  <c r="D77" i="4"/>
  <c r="D66" i="4"/>
  <c r="D65" i="4"/>
  <c r="D64" i="4"/>
  <c r="D53" i="4"/>
  <c r="D52" i="4"/>
  <c r="D51" i="4"/>
  <c r="D76" i="4"/>
  <c r="D63" i="4"/>
  <c r="D50" i="4"/>
  <c r="D37" i="4"/>
  <c r="D40" i="4"/>
  <c r="D39" i="4"/>
  <c r="D38" i="4"/>
  <c r="D80" i="4"/>
  <c r="D67" i="4"/>
  <c r="D54" i="4"/>
  <c r="D41" i="4"/>
  <c r="D28" i="4"/>
  <c r="D71" i="4"/>
  <c r="D58" i="4"/>
  <c r="D45" i="4"/>
  <c r="D32" i="4"/>
  <c r="D19" i="4"/>
  <c r="D6" i="4"/>
  <c r="K29" i="15" l="1"/>
  <c r="K28" i="15"/>
  <c r="K27" i="15"/>
  <c r="N1" i="15"/>
  <c r="AV7" i="15" l="1"/>
  <c r="AV6" i="15"/>
  <c r="AV5" i="15"/>
  <c r="AQ7" i="15"/>
  <c r="AQ6" i="15"/>
  <c r="AQ5" i="15"/>
  <c r="AL7" i="15"/>
  <c r="AL6" i="15"/>
  <c r="AL5" i="15"/>
  <c r="AF7" i="15"/>
  <c r="AF6" i="15"/>
  <c r="AF5" i="15"/>
  <c r="AA7" i="15"/>
  <c r="AA6" i="15"/>
  <c r="AA5" i="15"/>
  <c r="V7" i="15"/>
  <c r="V6" i="15"/>
  <c r="V5" i="15"/>
  <c r="H10" i="4" l="1"/>
  <c r="AA32" i="15" l="1"/>
  <c r="Z32" i="15" l="1"/>
  <c r="AK13" i="15"/>
  <c r="AK14" i="15"/>
  <c r="AK12" i="15"/>
  <c r="AN12" i="15" s="1"/>
  <c r="AG14" i="15" l="1"/>
  <c r="AG13" i="15"/>
  <c r="AN13" i="15" l="1"/>
  <c r="AN14" i="15"/>
  <c r="H11" i="4" l="1"/>
  <c r="B78" i="4" l="1"/>
  <c r="B77" i="4"/>
  <c r="B76" i="4"/>
  <c r="B75" i="4"/>
  <c r="B74" i="4"/>
  <c r="B73" i="4"/>
  <c r="B72" i="4"/>
  <c r="B65" i="4"/>
  <c r="B64" i="4"/>
  <c r="B63" i="4"/>
  <c r="B62" i="4"/>
  <c r="B61" i="4"/>
  <c r="B60" i="4"/>
  <c r="B59" i="4"/>
  <c r="B52" i="4"/>
  <c r="B51" i="4"/>
  <c r="B50" i="4"/>
  <c r="B49" i="4"/>
  <c r="B48" i="4"/>
  <c r="B47" i="4"/>
  <c r="B46" i="4"/>
  <c r="B39" i="4"/>
  <c r="B38" i="4"/>
  <c r="B36" i="4"/>
  <c r="B34" i="4"/>
  <c r="B37" i="4"/>
  <c r="B35" i="4"/>
  <c r="B33" i="4"/>
  <c r="B7" i="4"/>
  <c r="F8" i="16" l="1"/>
  <c r="F7" i="16"/>
  <c r="F6" i="16"/>
  <c r="F5" i="16"/>
  <c r="W17" i="15"/>
  <c r="AU7" i="15" s="1"/>
  <c r="AW7" i="15" s="1"/>
  <c r="B26" i="4"/>
  <c r="B25" i="4"/>
  <c r="B24" i="4"/>
  <c r="B23" i="4"/>
  <c r="B22" i="4"/>
  <c r="B21" i="4"/>
  <c r="B20" i="4"/>
  <c r="B13" i="4"/>
  <c r="B12" i="4"/>
  <c r="B11" i="4"/>
  <c r="B10" i="4"/>
  <c r="B9" i="4"/>
  <c r="B8" i="4"/>
  <c r="F15" i="16" l="1"/>
  <c r="J16" i="15"/>
  <c r="G14" i="16"/>
  <c r="K7" i="16"/>
  <c r="F13" i="16"/>
  <c r="F12" i="16"/>
  <c r="I8" i="16"/>
  <c r="F14" i="16"/>
  <c r="I7" i="16"/>
  <c r="H7" i="16" s="1"/>
  <c r="F16" i="15" s="1"/>
  <c r="F3" i="16"/>
  <c r="G3" i="16" s="1"/>
  <c r="F4" i="16"/>
  <c r="G4" i="16" s="1"/>
  <c r="I6" i="16"/>
  <c r="I5" i="16"/>
  <c r="Q16" i="15" l="1"/>
  <c r="I14" i="16"/>
  <c r="H14" i="16" s="1"/>
  <c r="U16" i="15" s="1"/>
  <c r="J17" i="15"/>
  <c r="K8" i="16"/>
  <c r="H8" i="16" s="1"/>
  <c r="F17" i="15" s="1"/>
  <c r="N17" i="15" s="1"/>
  <c r="V17" i="15" s="1"/>
  <c r="AU5" i="15" s="1"/>
  <c r="AW5" i="15" s="1"/>
  <c r="G15" i="16"/>
  <c r="I15" i="16" s="1"/>
  <c r="H15" i="16" s="1"/>
  <c r="J15" i="15"/>
  <c r="K6" i="16"/>
  <c r="H6" i="16" s="1"/>
  <c r="F15" i="15" s="1"/>
  <c r="N15" i="15" s="1"/>
  <c r="V15" i="15" s="1"/>
  <c r="W15" i="15" s="1"/>
  <c r="AK7" i="15" s="1"/>
  <c r="AM7" i="15" s="1"/>
  <c r="G13" i="16"/>
  <c r="I13" i="16" s="1"/>
  <c r="H13" i="16" s="1"/>
  <c r="U15" i="15" s="1"/>
  <c r="J14" i="15"/>
  <c r="K5" i="16"/>
  <c r="H5" i="16" s="1"/>
  <c r="F14" i="15" s="1"/>
  <c r="N14" i="15" s="1"/>
  <c r="V14" i="15" s="1"/>
  <c r="AE6" i="15" s="1"/>
  <c r="AG6" i="15" s="1"/>
  <c r="G12" i="16"/>
  <c r="I12" i="16" s="1"/>
  <c r="H12" i="16" s="1"/>
  <c r="U14" i="15" s="1"/>
  <c r="J13" i="15"/>
  <c r="K4" i="16"/>
  <c r="G11" i="16"/>
  <c r="F10" i="16"/>
  <c r="I4" i="16"/>
  <c r="F11" i="16"/>
  <c r="P16" i="15"/>
  <c r="N16" i="15"/>
  <c r="V16" i="15" s="1"/>
  <c r="W16" i="15" s="1"/>
  <c r="AP7" i="15" s="1"/>
  <c r="AR7" i="15" s="1"/>
  <c r="I3" i="16"/>
  <c r="H4" i="16"/>
  <c r="F13" i="15" s="1"/>
  <c r="U17" i="15" l="1"/>
  <c r="Q17" i="15"/>
  <c r="P17" i="15" s="1"/>
  <c r="Q15" i="15"/>
  <c r="P15" i="15" s="1"/>
  <c r="Q14" i="15"/>
  <c r="P14" i="15" s="1"/>
  <c r="J12" i="15"/>
  <c r="K3" i="16"/>
  <c r="H3" i="16" s="1"/>
  <c r="F12" i="15" s="1"/>
  <c r="G10" i="16"/>
  <c r="I10" i="16" s="1"/>
  <c r="H10" i="16" s="1"/>
  <c r="U12" i="15" s="1"/>
  <c r="AU6" i="15"/>
  <c r="AW6" i="15" s="1"/>
  <c r="Q13" i="15"/>
  <c r="P13" i="15" s="1"/>
  <c r="I11" i="16"/>
  <c r="H11" i="16" s="1"/>
  <c r="U13" i="15" s="1"/>
  <c r="AP5" i="15"/>
  <c r="AR5" i="15" s="1"/>
  <c r="AP6" i="15"/>
  <c r="AR6" i="15" s="1"/>
  <c r="N13" i="15"/>
  <c r="V13" i="15" s="1"/>
  <c r="Z6" i="15" s="1"/>
  <c r="AB6" i="15" s="1"/>
  <c r="AE5" i="15"/>
  <c r="AG5" i="15" s="1"/>
  <c r="W14" i="15"/>
  <c r="AE7" i="15" s="1"/>
  <c r="AG7" i="15" s="1"/>
  <c r="AK6" i="15"/>
  <c r="AM6" i="15" s="1"/>
  <c r="AK5" i="15"/>
  <c r="AM5" i="15" s="1"/>
  <c r="Q12" i="15" l="1"/>
  <c r="N12" i="15"/>
  <c r="V12" i="15" s="1"/>
  <c r="U5" i="15" s="1"/>
  <c r="W5" i="15" s="1"/>
  <c r="P12" i="15"/>
  <c r="P18" i="15" s="1"/>
  <c r="Z5" i="15"/>
  <c r="AB5" i="15" s="1"/>
  <c r="W13" i="15"/>
  <c r="Z7" i="15" s="1"/>
  <c r="AB7" i="15" s="1"/>
  <c r="U18" i="15"/>
  <c r="U30" i="15" s="1"/>
  <c r="W12" i="15" l="1"/>
  <c r="W18" i="15" s="1"/>
  <c r="V18" i="15"/>
  <c r="U6" i="15"/>
  <c r="W6" i="15" s="1"/>
  <c r="AY6" i="15" s="1"/>
  <c r="AB13" i="15" s="1"/>
  <c r="AA30" i="15"/>
  <c r="Z30" i="15"/>
  <c r="Y30" i="15"/>
  <c r="O18" i="15"/>
  <c r="AY5" i="15"/>
  <c r="AB12" i="15" s="1"/>
  <c r="U7" i="15" l="1"/>
  <c r="W7" i="15" s="1"/>
  <c r="AY7" i="15" s="1"/>
  <c r="AB14" i="15" s="1"/>
  <c r="AD14" i="15" s="1"/>
  <c r="C29" i="15" s="1"/>
  <c r="AC12" i="15"/>
  <c r="AD12" i="15" s="1"/>
  <c r="C27" i="15" s="1"/>
  <c r="V29" i="15"/>
  <c r="T30" i="15" s="1"/>
  <c r="AL12" i="15" s="1"/>
  <c r="AC13" i="15"/>
  <c r="AD13" i="15" s="1"/>
  <c r="C28" i="15" s="1"/>
  <c r="AH14" i="15" l="1"/>
  <c r="AJ14" i="15" s="1"/>
  <c r="E29" i="15" s="1"/>
  <c r="AH12" i="15"/>
  <c r="AL13" i="15"/>
  <c r="AM13" i="15" s="1"/>
  <c r="G28" i="15" s="1"/>
  <c r="AL14" i="15"/>
  <c r="AM14" i="15" s="1"/>
  <c r="G29" i="15" s="1"/>
  <c r="AH13" i="15"/>
  <c r="V30" i="15"/>
  <c r="AI12" i="15" s="1"/>
  <c r="AM12" i="15"/>
  <c r="G27" i="15" s="1"/>
  <c r="AI13" i="15" l="1"/>
  <c r="AO13" i="15" s="1"/>
  <c r="AP13" i="15" s="1"/>
  <c r="AQ13" i="15" s="1"/>
  <c r="AR13" i="15" s="1"/>
  <c r="AS13" i="15" s="1"/>
  <c r="I28" i="15" s="1"/>
  <c r="AJ12" i="15"/>
  <c r="E27" i="15" s="1"/>
  <c r="AO14" i="15"/>
  <c r="AP14" i="15" s="1"/>
  <c r="AQ14" i="15" s="1"/>
  <c r="AR14" i="15" s="1"/>
  <c r="AS14" i="15" s="1"/>
  <c r="I29" i="15" s="1"/>
  <c r="AO12" i="15" l="1"/>
  <c r="AP12" i="15" s="1"/>
  <c r="AQ12" i="15" s="1"/>
  <c r="AR12" i="15" s="1"/>
  <c r="AS12" i="15" s="1"/>
  <c r="I27" i="15" s="1"/>
  <c r="AJ13" i="15"/>
  <c r="E28" i="15" s="1"/>
  <c r="AT13" i="15"/>
  <c r="AT14" i="15"/>
  <c r="AT12" i="15" l="1"/>
  <c r="AS15" i="15"/>
  <c r="L32" i="15" s="1"/>
  <c r="AT15" i="15" l="1"/>
  <c r="L33" i="15" s="1"/>
</calcChain>
</file>

<file path=xl/sharedStrings.xml><?xml version="1.0" encoding="utf-8"?>
<sst xmlns="http://schemas.openxmlformats.org/spreadsheetml/2006/main" count="615" uniqueCount="164">
  <si>
    <t>合計所得金額</t>
    <rPh sb="0" eb="2">
      <t>ゴウケイ</t>
    </rPh>
    <rPh sb="2" eb="4">
      <t>ショトク</t>
    </rPh>
    <rPh sb="4" eb="6">
      <t>キンガク</t>
    </rPh>
    <phoneticPr fontId="6"/>
  </si>
  <si>
    <t>所得割</t>
    <rPh sb="0" eb="2">
      <t>ショトク</t>
    </rPh>
    <rPh sb="2" eb="3">
      <t>ワリ</t>
    </rPh>
    <phoneticPr fontId="6"/>
  </si>
  <si>
    <t>平等割</t>
    <rPh sb="0" eb="2">
      <t>ビョウドウ</t>
    </rPh>
    <rPh sb="2" eb="3">
      <t>ワリ</t>
    </rPh>
    <phoneticPr fontId="6"/>
  </si>
  <si>
    <t>所得割率</t>
    <rPh sb="0" eb="2">
      <t>ショトク</t>
    </rPh>
    <rPh sb="2" eb="3">
      <t>ワリ</t>
    </rPh>
    <rPh sb="3" eb="4">
      <t>リツ</t>
    </rPh>
    <phoneticPr fontId="6"/>
  </si>
  <si>
    <t>医療</t>
    <rPh sb="0" eb="2">
      <t>イリョウ</t>
    </rPh>
    <phoneticPr fontId="6"/>
  </si>
  <si>
    <t>高齢者支援</t>
    <rPh sb="0" eb="3">
      <t>コウレイシャ</t>
    </rPh>
    <rPh sb="3" eb="5">
      <t>シエン</t>
    </rPh>
    <phoneticPr fontId="6"/>
  </si>
  <si>
    <t>介護</t>
    <rPh sb="0" eb="2">
      <t>カイゴ</t>
    </rPh>
    <phoneticPr fontId="6"/>
  </si>
  <si>
    <t>人数</t>
    <rPh sb="0" eb="2">
      <t>ニンズウ</t>
    </rPh>
    <phoneticPr fontId="6"/>
  </si>
  <si>
    <t>限度超過額</t>
    <rPh sb="0" eb="2">
      <t>ゲンド</t>
    </rPh>
    <rPh sb="2" eb="5">
      <t>チョウカガク</t>
    </rPh>
    <phoneticPr fontId="6"/>
  </si>
  <si>
    <t>保険料</t>
    <rPh sb="0" eb="3">
      <t>ホケンリョウ</t>
    </rPh>
    <phoneticPr fontId="6"/>
  </si>
  <si>
    <t>応能割</t>
    <rPh sb="0" eb="1">
      <t>オウ</t>
    </rPh>
    <rPh sb="1" eb="2">
      <t>ノウ</t>
    </rPh>
    <rPh sb="2" eb="3">
      <t>ワリ</t>
    </rPh>
    <phoneticPr fontId="6"/>
  </si>
  <si>
    <t>応益割</t>
    <rPh sb="0" eb="2">
      <t>オウエキ</t>
    </rPh>
    <rPh sb="2" eb="3">
      <t>ワリ</t>
    </rPh>
    <phoneticPr fontId="6"/>
  </si>
  <si>
    <t>7割軽減</t>
    <rPh sb="1" eb="2">
      <t>ワリ</t>
    </rPh>
    <rPh sb="2" eb="4">
      <t>ケイゲン</t>
    </rPh>
    <phoneticPr fontId="6"/>
  </si>
  <si>
    <t>5割軽減</t>
    <rPh sb="1" eb="2">
      <t>ワリ</t>
    </rPh>
    <rPh sb="2" eb="4">
      <t>ケイゲン</t>
    </rPh>
    <phoneticPr fontId="6"/>
  </si>
  <si>
    <t>応能割</t>
    <rPh sb="0" eb="2">
      <t>オウノウ</t>
    </rPh>
    <rPh sb="2" eb="3">
      <t>ワリ</t>
    </rPh>
    <phoneticPr fontId="6"/>
  </si>
  <si>
    <t>2割軽減</t>
    <rPh sb="1" eb="2">
      <t>ワリ</t>
    </rPh>
    <rPh sb="2" eb="4">
      <t>ケイゲン</t>
    </rPh>
    <phoneticPr fontId="6"/>
  </si>
  <si>
    <t>軽減判定</t>
    <rPh sb="0" eb="2">
      <t>ケイゲン</t>
    </rPh>
    <rPh sb="2" eb="4">
      <t>ハンテイ</t>
    </rPh>
    <phoneticPr fontId="6"/>
  </si>
  <si>
    <t>軽減額</t>
    <rPh sb="0" eb="2">
      <t>ケイゲン</t>
    </rPh>
    <rPh sb="2" eb="3">
      <t>ガク</t>
    </rPh>
    <phoneticPr fontId="6"/>
  </si>
  <si>
    <t>軽減額計</t>
    <rPh sb="0" eb="2">
      <t>ケイゲン</t>
    </rPh>
    <rPh sb="2" eb="3">
      <t>ガク</t>
    </rPh>
    <rPh sb="3" eb="4">
      <t>ケイ</t>
    </rPh>
    <phoneticPr fontId="6"/>
  </si>
  <si>
    <t>均等割単価</t>
    <rPh sb="0" eb="2">
      <t>キントウ</t>
    </rPh>
    <rPh sb="2" eb="3">
      <t>ワ</t>
    </rPh>
    <rPh sb="3" eb="5">
      <t>タンカ</t>
    </rPh>
    <phoneticPr fontId="6"/>
  </si>
  <si>
    <t>均等割額</t>
    <rPh sb="0" eb="2">
      <t>キントウ</t>
    </rPh>
    <rPh sb="2" eb="3">
      <t>ワ</t>
    </rPh>
    <rPh sb="3" eb="4">
      <t>ガク</t>
    </rPh>
    <phoneticPr fontId="6"/>
  </si>
  <si>
    <t>軽減後所得割</t>
    <rPh sb="0" eb="2">
      <t>ケイゲン</t>
    </rPh>
    <rPh sb="2" eb="3">
      <t>ゴ</t>
    </rPh>
    <rPh sb="3" eb="5">
      <t>ショトク</t>
    </rPh>
    <rPh sb="5" eb="6">
      <t>ワリ</t>
    </rPh>
    <phoneticPr fontId="6"/>
  </si>
  <si>
    <t>応益割合計</t>
    <rPh sb="0" eb="2">
      <t>オウエキ</t>
    </rPh>
    <rPh sb="2" eb="3">
      <t>ワリ</t>
    </rPh>
    <rPh sb="3" eb="5">
      <t>ゴウケイ</t>
    </rPh>
    <phoneticPr fontId="6"/>
  </si>
  <si>
    <t>月割保険料</t>
    <rPh sb="0" eb="2">
      <t>ツキワ</t>
    </rPh>
    <rPh sb="2" eb="5">
      <t>ホケンリョウ</t>
    </rPh>
    <phoneticPr fontId="6"/>
  </si>
  <si>
    <t>介護賦課</t>
    <rPh sb="0" eb="2">
      <t>カイゴ</t>
    </rPh>
    <rPh sb="2" eb="4">
      <t>フカ</t>
    </rPh>
    <phoneticPr fontId="6"/>
  </si>
  <si>
    <t>合計保険料</t>
    <rPh sb="0" eb="2">
      <t>ゴウケイ</t>
    </rPh>
    <rPh sb="2" eb="5">
      <t>ホケンリョウ</t>
    </rPh>
    <phoneticPr fontId="6"/>
  </si>
  <si>
    <t>軽減後応益割</t>
    <rPh sb="0" eb="2">
      <t>ケイゲン</t>
    </rPh>
    <rPh sb="2" eb="3">
      <t>ゴ</t>
    </rPh>
    <rPh sb="3" eb="5">
      <t>オウエキ</t>
    </rPh>
    <rPh sb="5" eb="6">
      <t>ワリ</t>
    </rPh>
    <phoneticPr fontId="6"/>
  </si>
  <si>
    <t>給与収入額</t>
    <rPh sb="0" eb="2">
      <t>キュウヨ</t>
    </rPh>
    <rPh sb="2" eb="4">
      <t>シュウニュウ</t>
    </rPh>
    <rPh sb="4" eb="5">
      <t>ガク</t>
    </rPh>
    <phoneticPr fontId="6"/>
  </si>
  <si>
    <t>1,619,000円未満</t>
    <rPh sb="9" eb="10">
      <t>エン</t>
    </rPh>
    <rPh sb="10" eb="12">
      <t>ミマン</t>
    </rPh>
    <phoneticPr fontId="6"/>
  </si>
  <si>
    <t>1,620,000円未満</t>
    <rPh sb="9" eb="10">
      <t>エン</t>
    </rPh>
    <rPh sb="10" eb="12">
      <t>ミマン</t>
    </rPh>
    <phoneticPr fontId="6"/>
  </si>
  <si>
    <t>1,622,000円未満</t>
    <rPh sb="9" eb="10">
      <t>エン</t>
    </rPh>
    <rPh sb="10" eb="12">
      <t>ミマン</t>
    </rPh>
    <phoneticPr fontId="6"/>
  </si>
  <si>
    <t>1,624,000円未満</t>
    <rPh sb="9" eb="10">
      <t>エン</t>
    </rPh>
    <rPh sb="10" eb="12">
      <t>ミマン</t>
    </rPh>
    <phoneticPr fontId="6"/>
  </si>
  <si>
    <t>1,628,000円未満</t>
    <rPh sb="9" eb="10">
      <t>エン</t>
    </rPh>
    <rPh sb="10" eb="12">
      <t>ミマン</t>
    </rPh>
    <phoneticPr fontId="6"/>
  </si>
  <si>
    <t>1,804,000円未満</t>
    <rPh sb="9" eb="10">
      <t>エン</t>
    </rPh>
    <rPh sb="10" eb="12">
      <t>ミマン</t>
    </rPh>
    <phoneticPr fontId="6"/>
  </si>
  <si>
    <t>3,604,000円未満</t>
    <rPh sb="9" eb="10">
      <t>エン</t>
    </rPh>
    <rPh sb="10" eb="12">
      <t>ミマン</t>
    </rPh>
    <phoneticPr fontId="6"/>
  </si>
  <si>
    <t>6,600,000円未満</t>
    <rPh sb="9" eb="10">
      <t>エン</t>
    </rPh>
    <rPh sb="10" eb="12">
      <t>ミマン</t>
    </rPh>
    <phoneticPr fontId="6"/>
  </si>
  <si>
    <t>収入額</t>
    <rPh sb="0" eb="2">
      <t>シュウニュウ</t>
    </rPh>
    <rPh sb="2" eb="3">
      <t>ガク</t>
    </rPh>
    <phoneticPr fontId="6"/>
  </si>
  <si>
    <t>対象</t>
    <rPh sb="0" eb="2">
      <t>タイショウ</t>
    </rPh>
    <phoneticPr fontId="6"/>
  </si>
  <si>
    <t>所得算定額</t>
    <rPh sb="0" eb="2">
      <t>ショトク</t>
    </rPh>
    <rPh sb="2" eb="4">
      <t>サンテイ</t>
    </rPh>
    <rPh sb="4" eb="5">
      <t>ガク</t>
    </rPh>
    <phoneticPr fontId="6"/>
  </si>
  <si>
    <t>年金収入</t>
    <rPh sb="0" eb="2">
      <t>ネンキン</t>
    </rPh>
    <rPh sb="2" eb="4">
      <t>シュウニュウ</t>
    </rPh>
    <phoneticPr fontId="6"/>
  </si>
  <si>
    <t>年金収入額</t>
    <rPh sb="0" eb="2">
      <t>ネンキン</t>
    </rPh>
    <rPh sb="2" eb="4">
      <t>シュウニュウ</t>
    </rPh>
    <rPh sb="4" eb="5">
      <t>ガク</t>
    </rPh>
    <phoneticPr fontId="6"/>
  </si>
  <si>
    <t>65歳以上3,300,000円未満</t>
    <rPh sb="2" eb="3">
      <t>サイ</t>
    </rPh>
    <rPh sb="3" eb="5">
      <t>イジョウ</t>
    </rPh>
    <rPh sb="14" eb="15">
      <t>エン</t>
    </rPh>
    <rPh sb="15" eb="17">
      <t>ミマン</t>
    </rPh>
    <phoneticPr fontId="6"/>
  </si>
  <si>
    <t>65歳以上4,100,000円未満</t>
    <rPh sb="2" eb="3">
      <t>サイ</t>
    </rPh>
    <rPh sb="3" eb="5">
      <t>イジョウ</t>
    </rPh>
    <rPh sb="14" eb="15">
      <t>エン</t>
    </rPh>
    <rPh sb="15" eb="17">
      <t>ミマン</t>
    </rPh>
    <phoneticPr fontId="6"/>
  </si>
  <si>
    <t>65歳以上7,700,000円未満</t>
    <rPh sb="2" eb="3">
      <t>サイ</t>
    </rPh>
    <rPh sb="3" eb="5">
      <t>イジョウ</t>
    </rPh>
    <rPh sb="14" eb="15">
      <t>エン</t>
    </rPh>
    <rPh sb="15" eb="17">
      <t>ミマン</t>
    </rPh>
    <phoneticPr fontId="6"/>
  </si>
  <si>
    <t>65歳未満1,300,000円未満</t>
    <rPh sb="2" eb="3">
      <t>サイ</t>
    </rPh>
    <rPh sb="3" eb="5">
      <t>ミマン</t>
    </rPh>
    <rPh sb="14" eb="15">
      <t>エン</t>
    </rPh>
    <rPh sb="15" eb="17">
      <t>ミマン</t>
    </rPh>
    <phoneticPr fontId="6"/>
  </si>
  <si>
    <t>65歳未満4,100,000円未満</t>
    <rPh sb="2" eb="3">
      <t>サイ</t>
    </rPh>
    <rPh sb="3" eb="5">
      <t>ミマン</t>
    </rPh>
    <rPh sb="14" eb="15">
      <t>エン</t>
    </rPh>
    <rPh sb="15" eb="17">
      <t>ミマン</t>
    </rPh>
    <phoneticPr fontId="6"/>
  </si>
  <si>
    <t>65歳未満7,700,000円未満</t>
    <rPh sb="2" eb="3">
      <t>サイ</t>
    </rPh>
    <rPh sb="3" eb="5">
      <t>ミマン</t>
    </rPh>
    <rPh sb="14" eb="15">
      <t>エン</t>
    </rPh>
    <rPh sb="15" eb="17">
      <t>ミマン</t>
    </rPh>
    <phoneticPr fontId="6"/>
  </si>
  <si>
    <t>均等割</t>
    <rPh sb="0" eb="2">
      <t>キントウ</t>
    </rPh>
    <rPh sb="2" eb="3">
      <t>ワリ</t>
    </rPh>
    <phoneticPr fontId="6"/>
  </si>
  <si>
    <t>基礎賦課</t>
    <rPh sb="0" eb="2">
      <t>キソ</t>
    </rPh>
    <rPh sb="2" eb="4">
      <t>フカ</t>
    </rPh>
    <phoneticPr fontId="6"/>
  </si>
  <si>
    <t>賦課限度額</t>
    <rPh sb="0" eb="2">
      <t>フカ</t>
    </rPh>
    <rPh sb="2" eb="4">
      <t>ゲンド</t>
    </rPh>
    <rPh sb="4" eb="5">
      <t>ガク</t>
    </rPh>
    <phoneticPr fontId="6"/>
  </si>
  <si>
    <t>専従対象</t>
    <rPh sb="0" eb="2">
      <t>センジュウ</t>
    </rPh>
    <rPh sb="2" eb="4">
      <t>タイショウ</t>
    </rPh>
    <phoneticPr fontId="6"/>
  </si>
  <si>
    <t>専従所得</t>
    <rPh sb="0" eb="2">
      <t>センジュウ</t>
    </rPh>
    <rPh sb="2" eb="4">
      <t>ショトク</t>
    </rPh>
    <phoneticPr fontId="6"/>
  </si>
  <si>
    <t>特定世帯平等割</t>
    <rPh sb="0" eb="2">
      <t>トクテイ</t>
    </rPh>
    <rPh sb="2" eb="4">
      <t>セタイ</t>
    </rPh>
    <rPh sb="4" eb="6">
      <t>ビョウドウ</t>
    </rPh>
    <rPh sb="6" eb="7">
      <t>ワリ</t>
    </rPh>
    <phoneticPr fontId="6"/>
  </si>
  <si>
    <t>特定継続世帯平等割</t>
    <rPh sb="0" eb="2">
      <t>トクテイ</t>
    </rPh>
    <rPh sb="2" eb="4">
      <t>ケイゾク</t>
    </rPh>
    <rPh sb="4" eb="6">
      <t>セタイ</t>
    </rPh>
    <rPh sb="6" eb="8">
      <t>ビョウドウ</t>
    </rPh>
    <rPh sb="8" eb="9">
      <t>ワリ</t>
    </rPh>
    <phoneticPr fontId="6"/>
  </si>
  <si>
    <t>給与収入額</t>
    <rPh sb="0" eb="2">
      <t>キュウヨ</t>
    </rPh>
    <rPh sb="2" eb="4">
      <t>シュウニュウ</t>
    </rPh>
    <rPh sb="4" eb="5">
      <t>ガク</t>
    </rPh>
    <phoneticPr fontId="7"/>
  </si>
  <si>
    <t>給与所得額</t>
    <rPh sb="0" eb="2">
      <t>キュウヨ</t>
    </rPh>
    <rPh sb="2" eb="4">
      <t>ショトク</t>
    </rPh>
    <rPh sb="4" eb="5">
      <t>ガク</t>
    </rPh>
    <phoneticPr fontId="7"/>
  </si>
  <si>
    <t>その他の所得</t>
    <rPh sb="2" eb="3">
      <t>タ</t>
    </rPh>
    <rPh sb="4" eb="6">
      <t>ショトク</t>
    </rPh>
    <phoneticPr fontId="7"/>
  </si>
  <si>
    <t>総所得額</t>
    <rPh sb="0" eb="3">
      <t>ソウショトク</t>
    </rPh>
    <rPh sb="3" eb="4">
      <t>ガク</t>
    </rPh>
    <phoneticPr fontId="7"/>
  </si>
  <si>
    <t>世帯主</t>
    <rPh sb="0" eb="3">
      <t>セタイヌシ</t>
    </rPh>
    <phoneticPr fontId="7"/>
  </si>
  <si>
    <t>加入しない　65歳以上</t>
    <rPh sb="0" eb="2">
      <t>カニュウ</t>
    </rPh>
    <rPh sb="8" eb="9">
      <t>サイ</t>
    </rPh>
    <rPh sb="9" eb="11">
      <t>イジョウ</t>
    </rPh>
    <phoneticPr fontId="6"/>
  </si>
  <si>
    <t>加入しない　65歳未満</t>
    <rPh sb="0" eb="2">
      <t>カニュウ</t>
    </rPh>
    <rPh sb="8" eb="9">
      <t>サイ</t>
    </rPh>
    <rPh sb="9" eb="11">
      <t>ミマン</t>
    </rPh>
    <phoneticPr fontId="6"/>
  </si>
  <si>
    <t>加入する　40歳以上65歳未満</t>
    <rPh sb="0" eb="2">
      <t>カニュウ</t>
    </rPh>
    <rPh sb="7" eb="8">
      <t>サイ</t>
    </rPh>
    <rPh sb="8" eb="10">
      <t>イジョウ</t>
    </rPh>
    <rPh sb="12" eb="15">
      <t>サイミマン</t>
    </rPh>
    <phoneticPr fontId="6"/>
  </si>
  <si>
    <t>加入する　65歳以上75歳未満</t>
    <rPh sb="0" eb="2">
      <t>カニュウ</t>
    </rPh>
    <rPh sb="7" eb="10">
      <t>サイイジョウ</t>
    </rPh>
    <rPh sb="12" eb="15">
      <t>サイミマン</t>
    </rPh>
    <phoneticPr fontId="6"/>
  </si>
  <si>
    <t>所得割</t>
    <rPh sb="0" eb="2">
      <t>ショトク</t>
    </rPh>
    <rPh sb="2" eb="3">
      <t>ワリ</t>
    </rPh>
    <phoneticPr fontId="7"/>
  </si>
  <si>
    <t>均等割</t>
    <rPh sb="0" eb="3">
      <t>キントウワ</t>
    </rPh>
    <phoneticPr fontId="7"/>
  </si>
  <si>
    <t>平等割</t>
    <rPh sb="0" eb="2">
      <t>ビョウドウ</t>
    </rPh>
    <rPh sb="2" eb="3">
      <t>ワリ</t>
    </rPh>
    <phoneticPr fontId="7"/>
  </si>
  <si>
    <t>合計額</t>
    <rPh sb="0" eb="2">
      <t>ゴウケイ</t>
    </rPh>
    <rPh sb="2" eb="3">
      <t>ガク</t>
    </rPh>
    <phoneticPr fontId="7"/>
  </si>
  <si>
    <t>賦課限度額</t>
    <rPh sb="0" eb="2">
      <t>フカ</t>
    </rPh>
    <rPh sb="2" eb="4">
      <t>ゲンド</t>
    </rPh>
    <rPh sb="4" eb="5">
      <t>ガク</t>
    </rPh>
    <phoneticPr fontId="7"/>
  </si>
  <si>
    <t>医療分</t>
    <rPh sb="0" eb="2">
      <t>イリョウ</t>
    </rPh>
    <rPh sb="2" eb="3">
      <t>ブン</t>
    </rPh>
    <phoneticPr fontId="7"/>
  </si>
  <si>
    <t>支援分</t>
    <rPh sb="0" eb="2">
      <t>シエン</t>
    </rPh>
    <rPh sb="2" eb="3">
      <t>ブン</t>
    </rPh>
    <phoneticPr fontId="7"/>
  </si>
  <si>
    <t>介護分</t>
    <rPh sb="0" eb="2">
      <t>カイゴ</t>
    </rPh>
    <rPh sb="2" eb="3">
      <t>ブン</t>
    </rPh>
    <phoneticPr fontId="7"/>
  </si>
  <si>
    <t>円</t>
    <rPh sb="0" eb="1">
      <t>エン</t>
    </rPh>
    <phoneticPr fontId="7"/>
  </si>
  <si>
    <t>軽減対象所得</t>
    <rPh sb="0" eb="2">
      <t>ケイゲン</t>
    </rPh>
    <rPh sb="2" eb="4">
      <t>タイショウ</t>
    </rPh>
    <rPh sb="4" eb="6">
      <t>ショトク</t>
    </rPh>
    <phoneticPr fontId="7"/>
  </si>
  <si>
    <t>所得控除後の金額</t>
    <rPh sb="0" eb="2">
      <t>ショトク</t>
    </rPh>
    <rPh sb="2" eb="4">
      <t>コウジョ</t>
    </rPh>
    <rPh sb="4" eb="5">
      <t>ゴ</t>
    </rPh>
    <rPh sb="6" eb="8">
      <t>キンガク</t>
    </rPh>
    <phoneticPr fontId="7"/>
  </si>
  <si>
    <t>介護対象所得</t>
    <rPh sb="0" eb="2">
      <t>カイゴ</t>
    </rPh>
    <rPh sb="2" eb="4">
      <t>タイショウ</t>
    </rPh>
    <rPh sb="4" eb="6">
      <t>ショトク</t>
    </rPh>
    <phoneticPr fontId="7"/>
  </si>
  <si>
    <t>所得割人数</t>
    <rPh sb="0" eb="2">
      <t>ショトク</t>
    </rPh>
    <rPh sb="2" eb="3">
      <t>ワリ</t>
    </rPh>
    <rPh sb="3" eb="5">
      <t>ニンズウ</t>
    </rPh>
    <phoneticPr fontId="7"/>
  </si>
  <si>
    <t>平等割額</t>
    <rPh sb="0" eb="2">
      <t>ビョウドウ</t>
    </rPh>
    <rPh sb="2" eb="3">
      <t>ワリ</t>
    </rPh>
    <rPh sb="3" eb="4">
      <t>ガク</t>
    </rPh>
    <phoneticPr fontId="7"/>
  </si>
  <si>
    <t>公的年金等収入額</t>
    <rPh sb="0" eb="2">
      <t>コウテキ</t>
    </rPh>
    <rPh sb="2" eb="4">
      <t>ネンキン</t>
    </rPh>
    <rPh sb="4" eb="5">
      <t>トウ</t>
    </rPh>
    <rPh sb="5" eb="7">
      <t>シュウニュウ</t>
    </rPh>
    <rPh sb="7" eb="8">
      <t>ガク</t>
    </rPh>
    <phoneticPr fontId="7"/>
  </si>
  <si>
    <t>公的年金等雑所得</t>
    <rPh sb="0" eb="2">
      <t>コウテキ</t>
    </rPh>
    <rPh sb="2" eb="4">
      <t>ネンキン</t>
    </rPh>
    <rPh sb="4" eb="5">
      <t>トウ</t>
    </rPh>
    <rPh sb="5" eb="8">
      <t>ザツショトク</t>
    </rPh>
    <phoneticPr fontId="7"/>
  </si>
  <si>
    <t>①年齢区分</t>
    <rPh sb="1" eb="3">
      <t>ネンレイ</t>
    </rPh>
    <rPh sb="3" eb="5">
      <t>クブン</t>
    </rPh>
    <phoneticPr fontId="7"/>
  </si>
  <si>
    <t>※必ず選択してください</t>
    <rPh sb="1" eb="2">
      <t>カナラ</t>
    </rPh>
    <rPh sb="3" eb="5">
      <t>センタク</t>
    </rPh>
    <phoneticPr fontId="6"/>
  </si>
  <si>
    <t>加入しない</t>
    <rPh sb="0" eb="2">
      <t>カニュウ</t>
    </rPh>
    <phoneticPr fontId="6"/>
  </si>
  <si>
    <t>加入者１</t>
    <rPh sb="0" eb="3">
      <t>カニュウシャ</t>
    </rPh>
    <phoneticPr fontId="7"/>
  </si>
  <si>
    <t>加入者２</t>
    <rPh sb="0" eb="3">
      <t>カニュウシャ</t>
    </rPh>
    <phoneticPr fontId="7"/>
  </si>
  <si>
    <t>加入者３</t>
    <phoneticPr fontId="7"/>
  </si>
  <si>
    <t>加入者４</t>
    <phoneticPr fontId="7"/>
  </si>
  <si>
    <t>加入者５</t>
    <phoneticPr fontId="7"/>
  </si>
  <si>
    <r>
      <t>・住民票の世帯主および同一世帯の加入者の</t>
    </r>
    <r>
      <rPr>
        <b/>
        <sz val="20"/>
        <color theme="1"/>
        <rFont val="ＭＳ Ｐゴシック"/>
        <family val="3"/>
        <charset val="128"/>
        <scheme val="minor"/>
      </rPr>
      <t>「①年齢区分」</t>
    </r>
    <r>
      <rPr>
        <sz val="16"/>
        <color theme="1"/>
        <rFont val="ＭＳ Ｐゴシック"/>
        <family val="3"/>
        <charset val="128"/>
        <scheme val="minor"/>
      </rPr>
      <t>を</t>
    </r>
    <r>
      <rPr>
        <b/>
        <sz val="16"/>
        <color theme="1"/>
        <rFont val="ＭＳ Ｐゴシック"/>
        <family val="3"/>
        <charset val="128"/>
        <scheme val="minor"/>
      </rPr>
      <t>「▼」</t>
    </r>
    <r>
      <rPr>
        <sz val="16"/>
        <color theme="1"/>
        <rFont val="ＭＳ Ｐゴシック"/>
        <family val="3"/>
        <charset val="128"/>
        <scheme val="minor"/>
      </rPr>
      <t>から選択してください。</t>
    </r>
    <rPh sb="1" eb="4">
      <t>ジュウミンヒョウ</t>
    </rPh>
    <rPh sb="5" eb="8">
      <t>セタイヌシ</t>
    </rPh>
    <rPh sb="11" eb="13">
      <t>ドウイツ</t>
    </rPh>
    <rPh sb="13" eb="15">
      <t>セタイ</t>
    </rPh>
    <rPh sb="16" eb="19">
      <t>カニュウシャ</t>
    </rPh>
    <rPh sb="22" eb="24">
      <t>ネンレイ</t>
    </rPh>
    <rPh sb="24" eb="26">
      <t>クブン</t>
    </rPh>
    <rPh sb="33" eb="35">
      <t>センタク</t>
    </rPh>
    <phoneticPr fontId="7"/>
  </si>
  <si>
    <t>　住民票の世帯主が加入しない場合も収入額を入力してください。</t>
    <rPh sb="1" eb="4">
      <t>ジュウミンヒョウ</t>
    </rPh>
    <rPh sb="5" eb="8">
      <t>セタイヌシ</t>
    </rPh>
    <rPh sb="9" eb="11">
      <t>カニュウ</t>
    </rPh>
    <rPh sb="14" eb="16">
      <t>バアイ</t>
    </rPh>
    <rPh sb="17" eb="19">
      <t>シュウニュウ</t>
    </rPh>
    <rPh sb="19" eb="20">
      <t>ガク</t>
    </rPh>
    <rPh sb="21" eb="23">
      <t>ニュウリョク</t>
    </rPh>
    <phoneticPr fontId="7"/>
  </si>
  <si>
    <t>　収入がない場合、ゼロを入力してください。</t>
    <rPh sb="1" eb="3">
      <t>シュウニュウ</t>
    </rPh>
    <rPh sb="6" eb="8">
      <t>バアイ</t>
    </rPh>
    <rPh sb="12" eb="14">
      <t>ニュウリョク</t>
    </rPh>
    <phoneticPr fontId="7"/>
  </si>
  <si>
    <t>　「給与収入額」「公的年金等収入額」「その他の所得」に入力してください。</t>
    <phoneticPr fontId="7"/>
  </si>
  <si>
    <t>所得割率</t>
    <rPh sb="0" eb="2">
      <t>ショトク</t>
    </rPh>
    <rPh sb="2" eb="3">
      <t>ワリ</t>
    </rPh>
    <rPh sb="3" eb="4">
      <t>リツ</t>
    </rPh>
    <phoneticPr fontId="7"/>
  </si>
  <si>
    <t>一人目の所得額</t>
    <rPh sb="0" eb="2">
      <t>ヒトリ</t>
    </rPh>
    <rPh sb="2" eb="3">
      <t>メ</t>
    </rPh>
    <rPh sb="4" eb="6">
      <t>ショトク</t>
    </rPh>
    <rPh sb="6" eb="7">
      <t>ガク</t>
    </rPh>
    <phoneticPr fontId="7"/>
  </si>
  <si>
    <t>所得割額</t>
    <rPh sb="0" eb="2">
      <t>ショトク</t>
    </rPh>
    <rPh sb="2" eb="3">
      <t>ワリ</t>
    </rPh>
    <rPh sb="3" eb="4">
      <t>ガク</t>
    </rPh>
    <phoneticPr fontId="7"/>
  </si>
  <si>
    <t>医療</t>
    <rPh sb="0" eb="2">
      <t>イリョウ</t>
    </rPh>
    <phoneticPr fontId="7"/>
  </si>
  <si>
    <t>高齢者支援</t>
    <rPh sb="0" eb="3">
      <t>コウレイシャ</t>
    </rPh>
    <rPh sb="3" eb="5">
      <t>シエン</t>
    </rPh>
    <phoneticPr fontId="7"/>
  </si>
  <si>
    <t>介護</t>
    <rPh sb="0" eb="2">
      <t>カイゴ</t>
    </rPh>
    <phoneticPr fontId="7"/>
  </si>
  <si>
    <t>二人目の所得額</t>
    <rPh sb="0" eb="2">
      <t>フタリ</t>
    </rPh>
    <rPh sb="2" eb="3">
      <t>メ</t>
    </rPh>
    <rPh sb="4" eb="6">
      <t>ショトク</t>
    </rPh>
    <rPh sb="6" eb="7">
      <t>ガク</t>
    </rPh>
    <phoneticPr fontId="7"/>
  </si>
  <si>
    <t>三人目の所得額</t>
    <rPh sb="0" eb="1">
      <t>サン</t>
    </rPh>
    <rPh sb="1" eb="2">
      <t>ニン</t>
    </rPh>
    <rPh sb="2" eb="3">
      <t>メ</t>
    </rPh>
    <rPh sb="4" eb="6">
      <t>ショトク</t>
    </rPh>
    <rPh sb="6" eb="7">
      <t>ガク</t>
    </rPh>
    <phoneticPr fontId="7"/>
  </si>
  <si>
    <t>四人目の所得額</t>
    <rPh sb="0" eb="1">
      <t>ヨン</t>
    </rPh>
    <rPh sb="1" eb="2">
      <t>ニン</t>
    </rPh>
    <rPh sb="2" eb="3">
      <t>メ</t>
    </rPh>
    <rPh sb="4" eb="6">
      <t>ショトク</t>
    </rPh>
    <rPh sb="6" eb="7">
      <t>ガク</t>
    </rPh>
    <phoneticPr fontId="7"/>
  </si>
  <si>
    <t>五人目の所得額</t>
    <rPh sb="0" eb="1">
      <t>ゴ</t>
    </rPh>
    <rPh sb="1" eb="2">
      <t>ニン</t>
    </rPh>
    <rPh sb="2" eb="3">
      <t>メ</t>
    </rPh>
    <rPh sb="4" eb="6">
      <t>ショトク</t>
    </rPh>
    <rPh sb="6" eb="7">
      <t>ガク</t>
    </rPh>
    <phoneticPr fontId="7"/>
  </si>
  <si>
    <t>六人目の所得額</t>
    <rPh sb="0" eb="1">
      <t>ロク</t>
    </rPh>
    <rPh sb="1" eb="2">
      <t>ニン</t>
    </rPh>
    <rPh sb="2" eb="3">
      <t>メ</t>
    </rPh>
    <rPh sb="4" eb="6">
      <t>ショトク</t>
    </rPh>
    <rPh sb="6" eb="7">
      <t>ガク</t>
    </rPh>
    <phoneticPr fontId="7"/>
  </si>
  <si>
    <t>合計額</t>
    <rPh sb="0" eb="2">
      <t>ゴウケイ</t>
    </rPh>
    <rPh sb="2" eb="3">
      <t>ガク</t>
    </rPh>
    <phoneticPr fontId="7"/>
  </si>
  <si>
    <t>保険料率</t>
    <rPh sb="0" eb="3">
      <t>ホケンリョウ</t>
    </rPh>
    <rPh sb="3" eb="4">
      <t>リツ</t>
    </rPh>
    <phoneticPr fontId="7"/>
  </si>
  <si>
    <t>軽減判定基準額</t>
    <rPh sb="0" eb="2">
      <t>ケイゲン</t>
    </rPh>
    <rPh sb="2" eb="4">
      <t>ハンテイ</t>
    </rPh>
    <rPh sb="4" eb="6">
      <t>キジュン</t>
    </rPh>
    <rPh sb="6" eb="7">
      <t>ガク</t>
    </rPh>
    <phoneticPr fontId="7"/>
  </si>
  <si>
    <t>所得割軽減判定人数</t>
    <rPh sb="0" eb="2">
      <t>ショトク</t>
    </rPh>
    <rPh sb="2" eb="3">
      <t>ワリ</t>
    </rPh>
    <rPh sb="3" eb="5">
      <t>ケイゲン</t>
    </rPh>
    <rPh sb="5" eb="7">
      <t>ハンテイ</t>
    </rPh>
    <rPh sb="7" eb="9">
      <t>ニンズウ</t>
    </rPh>
    <phoneticPr fontId="7"/>
  </si>
  <si>
    <t>合計</t>
    <rPh sb="0" eb="2">
      <t>ゴウケイ</t>
    </rPh>
    <phoneticPr fontId="7"/>
  </si>
  <si>
    <t>黄色のセルが年度ごとに見直しが必要な項目。</t>
    <rPh sb="0" eb="2">
      <t>キイロ</t>
    </rPh>
    <rPh sb="6" eb="8">
      <t>ネンド</t>
    </rPh>
    <rPh sb="11" eb="13">
      <t>ミナオ</t>
    </rPh>
    <rPh sb="15" eb="17">
      <t>ヒツヨウ</t>
    </rPh>
    <rPh sb="18" eb="20">
      <t>コウモク</t>
    </rPh>
    <phoneticPr fontId="7"/>
  </si>
  <si>
    <t>また、非表示シートである給与所得計算表は給与所得控除や年金所得控除の税制改正のたびに修正が必要</t>
    <rPh sb="27" eb="29">
      <t>ネンキン</t>
    </rPh>
    <rPh sb="29" eb="31">
      <t>ショトク</t>
    </rPh>
    <rPh sb="31" eb="33">
      <t>コウジョ</t>
    </rPh>
    <phoneticPr fontId="7"/>
  </si>
  <si>
    <t>＊入力していただいた加入人数全員分の保険料です。</t>
    <rPh sb="1" eb="3">
      <t>ニュウリョク</t>
    </rPh>
    <rPh sb="10" eb="12">
      <t>カニュウ</t>
    </rPh>
    <rPh sb="12" eb="14">
      <t>ニンズウ</t>
    </rPh>
    <rPh sb="14" eb="16">
      <t>ゼンイン</t>
    </rPh>
    <rPh sb="16" eb="17">
      <t>ブン</t>
    </rPh>
    <rPh sb="18" eb="21">
      <t>ホケンリョウ</t>
    </rPh>
    <phoneticPr fontId="6"/>
  </si>
  <si>
    <t>＊この資料はご本人様からの申し出に基づき作成した参考資料であり、正式な請求明細資料ではありません。</t>
    <rPh sb="3" eb="5">
      <t>シリョウ</t>
    </rPh>
    <rPh sb="7" eb="9">
      <t>ホンニン</t>
    </rPh>
    <rPh sb="9" eb="10">
      <t>サマ</t>
    </rPh>
    <rPh sb="13" eb="14">
      <t>モウ</t>
    </rPh>
    <rPh sb="15" eb="16">
      <t>デ</t>
    </rPh>
    <rPh sb="17" eb="18">
      <t>モト</t>
    </rPh>
    <rPh sb="20" eb="22">
      <t>サクセイ</t>
    </rPh>
    <rPh sb="24" eb="26">
      <t>サンコウ</t>
    </rPh>
    <rPh sb="26" eb="28">
      <t>シリョウ</t>
    </rPh>
    <rPh sb="32" eb="34">
      <t>セイシキ</t>
    </rPh>
    <rPh sb="35" eb="37">
      <t>セイキュウ</t>
    </rPh>
    <rPh sb="37" eb="39">
      <t>メイサイ</t>
    </rPh>
    <rPh sb="39" eb="41">
      <t>シリョウ</t>
    </rPh>
    <phoneticPr fontId="6"/>
  </si>
  <si>
    <t>0割軽減</t>
    <rPh sb="1" eb="2">
      <t>ワリ</t>
    </rPh>
    <rPh sb="2" eb="4">
      <t>ケイゲン</t>
    </rPh>
    <phoneticPr fontId="6"/>
  </si>
  <si>
    <t>551,000円未満</t>
    <rPh sb="7" eb="8">
      <t>エン</t>
    </rPh>
    <rPh sb="8" eb="10">
      <t>ミマン</t>
    </rPh>
    <phoneticPr fontId="6"/>
  </si>
  <si>
    <t>8,500,000円以上</t>
    <rPh sb="9" eb="10">
      <t>エン</t>
    </rPh>
    <rPh sb="10" eb="12">
      <t>イジョウ</t>
    </rPh>
    <phoneticPr fontId="6"/>
  </si>
  <si>
    <t>8,500,000円未満</t>
    <rPh sb="9" eb="10">
      <t>エン</t>
    </rPh>
    <rPh sb="10" eb="12">
      <t>ミマン</t>
    </rPh>
    <phoneticPr fontId="6"/>
  </si>
  <si>
    <t>1000万円以下の場合</t>
    <rPh sb="4" eb="6">
      <t>マンエン</t>
    </rPh>
    <rPh sb="6" eb="8">
      <t>イカ</t>
    </rPh>
    <rPh sb="9" eb="11">
      <t>バアイ</t>
    </rPh>
    <phoneticPr fontId="6"/>
  </si>
  <si>
    <t>1000万円を超え2000万円以下の場合</t>
    <rPh sb="4" eb="6">
      <t>マンエン</t>
    </rPh>
    <rPh sb="7" eb="8">
      <t>コ</t>
    </rPh>
    <rPh sb="13" eb="15">
      <t>マンエン</t>
    </rPh>
    <rPh sb="15" eb="17">
      <t>イカ</t>
    </rPh>
    <rPh sb="18" eb="20">
      <t>バアイ</t>
    </rPh>
    <phoneticPr fontId="6"/>
  </si>
  <si>
    <t>2000万円を超える場合</t>
    <rPh sb="4" eb="6">
      <t>マンエン</t>
    </rPh>
    <rPh sb="7" eb="8">
      <t>コ</t>
    </rPh>
    <rPh sb="10" eb="12">
      <t>バアイ</t>
    </rPh>
    <phoneticPr fontId="6"/>
  </si>
  <si>
    <t>65歳以上10,000,000円未満</t>
    <rPh sb="2" eb="3">
      <t>サイ</t>
    </rPh>
    <rPh sb="3" eb="5">
      <t>イジョウ</t>
    </rPh>
    <rPh sb="15" eb="16">
      <t>エン</t>
    </rPh>
    <rPh sb="16" eb="18">
      <t>ミマン</t>
    </rPh>
    <phoneticPr fontId="6"/>
  </si>
  <si>
    <t>65歳以上10,000,000円以上</t>
    <rPh sb="2" eb="3">
      <t>サイ</t>
    </rPh>
    <rPh sb="3" eb="5">
      <t>イジョウ</t>
    </rPh>
    <rPh sb="15" eb="16">
      <t>エン</t>
    </rPh>
    <rPh sb="16" eb="18">
      <t>イジョウ</t>
    </rPh>
    <phoneticPr fontId="6"/>
  </si>
  <si>
    <t>65歳未満10,000,000円未満</t>
    <rPh sb="2" eb="3">
      <t>サイ</t>
    </rPh>
    <rPh sb="3" eb="5">
      <t>ミマン</t>
    </rPh>
    <rPh sb="15" eb="16">
      <t>エン</t>
    </rPh>
    <rPh sb="16" eb="18">
      <t>ミマン</t>
    </rPh>
    <phoneticPr fontId="6"/>
  </si>
  <si>
    <t>65歳未満10,000,000円以上</t>
    <rPh sb="2" eb="3">
      <t>サイ</t>
    </rPh>
    <rPh sb="3" eb="5">
      <t>ミマン</t>
    </rPh>
    <rPh sb="15" eb="16">
      <t>エン</t>
    </rPh>
    <rPh sb="16" eb="18">
      <t>イジョウ</t>
    </rPh>
    <phoneticPr fontId="6"/>
  </si>
  <si>
    <t>所得に給与所得または年金所得が含まれる</t>
    <rPh sb="0" eb="2">
      <t>ショトク</t>
    </rPh>
    <rPh sb="3" eb="5">
      <t>キュウヨ</t>
    </rPh>
    <rPh sb="5" eb="7">
      <t>ショトク</t>
    </rPh>
    <rPh sb="10" eb="12">
      <t>ネンキン</t>
    </rPh>
    <rPh sb="12" eb="14">
      <t>ショトク</t>
    </rPh>
    <rPh sb="15" eb="16">
      <t>フク</t>
    </rPh>
    <phoneticPr fontId="7"/>
  </si>
  <si>
    <t>所得に給与所得または年金所得が含まれる人の数（人）</t>
    <rPh sb="0" eb="2">
      <t>ショトク</t>
    </rPh>
    <rPh sb="3" eb="5">
      <t>キュウヨ</t>
    </rPh>
    <rPh sb="5" eb="7">
      <t>ショトク</t>
    </rPh>
    <rPh sb="10" eb="12">
      <t>ネンキン</t>
    </rPh>
    <rPh sb="12" eb="14">
      <t>ショトク</t>
    </rPh>
    <rPh sb="15" eb="16">
      <t>フク</t>
    </rPh>
    <rPh sb="19" eb="20">
      <t>ヒト</t>
    </rPh>
    <rPh sb="21" eb="22">
      <t>カズ</t>
    </rPh>
    <rPh sb="23" eb="24">
      <t>ニン</t>
    </rPh>
    <phoneticPr fontId="7"/>
  </si>
  <si>
    <t>基礎控除</t>
    <rPh sb="0" eb="2">
      <t>キソ</t>
    </rPh>
    <rPh sb="2" eb="4">
      <t>コウジョ</t>
    </rPh>
    <phoneticPr fontId="6"/>
  </si>
  <si>
    <t>合計所得金額</t>
    <rPh sb="0" eb="2">
      <t>ゴウケイ</t>
    </rPh>
    <rPh sb="2" eb="4">
      <t>ショトク</t>
    </rPh>
    <rPh sb="4" eb="6">
      <t>キンガク</t>
    </rPh>
    <phoneticPr fontId="6"/>
  </si>
  <si>
    <t>2400万円以下</t>
    <rPh sb="4" eb="5">
      <t>マン</t>
    </rPh>
    <rPh sb="5" eb="6">
      <t>エン</t>
    </rPh>
    <rPh sb="6" eb="8">
      <t>イカ</t>
    </rPh>
    <phoneticPr fontId="6"/>
  </si>
  <si>
    <t>2450万円超2500万円以下</t>
    <rPh sb="4" eb="6">
      <t>マンエン</t>
    </rPh>
    <rPh sb="6" eb="7">
      <t>コ</t>
    </rPh>
    <rPh sb="11" eb="13">
      <t>マンエン</t>
    </rPh>
    <rPh sb="13" eb="15">
      <t>イカ</t>
    </rPh>
    <phoneticPr fontId="6"/>
  </si>
  <si>
    <t>2500万円超</t>
    <rPh sb="4" eb="6">
      <t>マンエン</t>
    </rPh>
    <rPh sb="6" eb="7">
      <t>コ</t>
    </rPh>
    <phoneticPr fontId="6"/>
  </si>
  <si>
    <t>2400万円超2450万円以下</t>
    <rPh sb="4" eb="6">
      <t>マンエン</t>
    </rPh>
    <rPh sb="6" eb="7">
      <t>コ</t>
    </rPh>
    <rPh sb="11" eb="13">
      <t>マンエン</t>
    </rPh>
    <rPh sb="13" eb="15">
      <t>イカ</t>
    </rPh>
    <phoneticPr fontId="6"/>
  </si>
  <si>
    <t>43万円</t>
    <rPh sb="2" eb="4">
      <t>マンエン</t>
    </rPh>
    <phoneticPr fontId="6"/>
  </si>
  <si>
    <t>29万円</t>
    <rPh sb="2" eb="4">
      <t>マンエン</t>
    </rPh>
    <phoneticPr fontId="6"/>
  </si>
  <si>
    <t>15万円</t>
    <rPh sb="2" eb="4">
      <t>マンエン</t>
    </rPh>
    <phoneticPr fontId="6"/>
  </si>
  <si>
    <t>0円</t>
    <rPh sb="1" eb="2">
      <t>エン</t>
    </rPh>
    <phoneticPr fontId="6"/>
  </si>
  <si>
    <t>調整控除</t>
    <rPh sb="0" eb="2">
      <t>チョウセイ</t>
    </rPh>
    <rPh sb="2" eb="4">
      <t>コウジョ</t>
    </rPh>
    <phoneticPr fontId="6"/>
  </si>
  <si>
    <t>所得金額調整控除額《＝給与所得控除額後の給与等の金額（10万円を超える場合は10万円）+公的年金等に係る雑所得の金額（10万年を超える場合は10万円）-10万円》</t>
    <rPh sb="0" eb="2">
      <t>ショトク</t>
    </rPh>
    <rPh sb="2" eb="4">
      <t>キンガク</t>
    </rPh>
    <rPh sb="4" eb="6">
      <t>チョウセイ</t>
    </rPh>
    <rPh sb="6" eb="8">
      <t>コウジョ</t>
    </rPh>
    <rPh sb="8" eb="9">
      <t>ガク</t>
    </rPh>
    <phoneticPr fontId="6"/>
  </si>
  <si>
    <t>調整前給与所得</t>
    <rPh sb="0" eb="2">
      <t>チョウセイ</t>
    </rPh>
    <rPh sb="2" eb="3">
      <t>マエ</t>
    </rPh>
    <rPh sb="3" eb="5">
      <t>キュウヨ</t>
    </rPh>
    <rPh sb="5" eb="7">
      <t>ショトク</t>
    </rPh>
    <phoneticPr fontId="6"/>
  </si>
  <si>
    <t>年金雑所得</t>
    <rPh sb="0" eb="2">
      <t>ネンキン</t>
    </rPh>
    <rPh sb="2" eb="3">
      <t>ザツ</t>
    </rPh>
    <rPh sb="3" eb="5">
      <t>ショトク</t>
    </rPh>
    <phoneticPr fontId="6"/>
  </si>
  <si>
    <t>給与所得（調整控除後）</t>
    <rPh sb="0" eb="2">
      <t>キュウヨ</t>
    </rPh>
    <rPh sb="2" eb="4">
      <t>ショトク</t>
    </rPh>
    <rPh sb="5" eb="7">
      <t>チョウセイ</t>
    </rPh>
    <rPh sb="7" eb="9">
      <t>コウジョ</t>
    </rPh>
    <rPh sb="9" eb="10">
      <t>ゴ</t>
    </rPh>
    <phoneticPr fontId="6"/>
  </si>
  <si>
    <t>世帯主</t>
    <rPh sb="0" eb="3">
      <t>セタイヌシ</t>
    </rPh>
    <phoneticPr fontId="6"/>
  </si>
  <si>
    <t>+</t>
    <phoneticPr fontId="6"/>
  </si>
  <si>
    <t>-</t>
    <phoneticPr fontId="6"/>
  </si>
  <si>
    <t>加入者１</t>
    <rPh sb="0" eb="3">
      <t>カニュウシャ</t>
    </rPh>
    <phoneticPr fontId="6"/>
  </si>
  <si>
    <t>加入者２</t>
    <rPh sb="0" eb="3">
      <t>カニュウシャ</t>
    </rPh>
    <phoneticPr fontId="6"/>
  </si>
  <si>
    <t>加入者３</t>
    <rPh sb="0" eb="3">
      <t>カニュウシャ</t>
    </rPh>
    <phoneticPr fontId="6"/>
  </si>
  <si>
    <t>加入者４</t>
    <rPh sb="0" eb="3">
      <t>カニュウシャ</t>
    </rPh>
    <phoneticPr fontId="6"/>
  </si>
  <si>
    <t>加入者５</t>
    <rPh sb="0" eb="3">
      <t>カニュウシャ</t>
    </rPh>
    <phoneticPr fontId="6"/>
  </si>
  <si>
    <t>+</t>
    <phoneticPr fontId="6"/>
  </si>
  <si>
    <r>
      <t>加入する　</t>
    </r>
    <r>
      <rPr>
        <sz val="14"/>
        <color rgb="FFFF0000"/>
        <rFont val="ＭＳ Ｐゴシック"/>
        <family val="3"/>
        <charset val="128"/>
      </rPr>
      <t>小学生以上</t>
    </r>
    <r>
      <rPr>
        <sz val="14"/>
        <rFont val="ＭＳ Ｐゴシック"/>
        <family val="3"/>
        <charset val="128"/>
      </rPr>
      <t>40歳未満</t>
    </r>
    <rPh sb="0" eb="2">
      <t>カニュウ</t>
    </rPh>
    <rPh sb="5" eb="8">
      <t>ショウガクセイ</t>
    </rPh>
    <rPh sb="8" eb="10">
      <t>イジョウ</t>
    </rPh>
    <rPh sb="12" eb="13">
      <t>サイ</t>
    </rPh>
    <rPh sb="13" eb="15">
      <t>ミマン</t>
    </rPh>
    <phoneticPr fontId="6"/>
  </si>
  <si>
    <r>
      <t>加入する　</t>
    </r>
    <r>
      <rPr>
        <sz val="14"/>
        <rFont val="ＭＳ Ｐゴシック"/>
        <family val="3"/>
        <charset val="128"/>
      </rPr>
      <t>40歳未満</t>
    </r>
    <rPh sb="0" eb="2">
      <t>カニュウ</t>
    </rPh>
    <rPh sb="7" eb="8">
      <t>サイ</t>
    </rPh>
    <rPh sb="8" eb="10">
      <t>ミマン</t>
    </rPh>
    <phoneticPr fontId="6"/>
  </si>
  <si>
    <r>
      <t>加入する　</t>
    </r>
    <r>
      <rPr>
        <sz val="14"/>
        <color rgb="FFFF0000"/>
        <rFont val="ＭＳ Ｐゴシック"/>
        <family val="3"/>
        <charset val="128"/>
      </rPr>
      <t>未就学児</t>
    </r>
    <rPh sb="0" eb="2">
      <t>カニュウ</t>
    </rPh>
    <rPh sb="5" eb="9">
      <t>ミシュウガクジ</t>
    </rPh>
    <phoneticPr fontId="6"/>
  </si>
  <si>
    <t>未就学児人数</t>
    <rPh sb="0" eb="4">
      <t>ミシュウガクジ</t>
    </rPh>
    <rPh sb="4" eb="6">
      <t>ニンズウ</t>
    </rPh>
    <phoneticPr fontId="7"/>
  </si>
  <si>
    <t>未就学児
軽減割</t>
    <rPh sb="0" eb="4">
      <t>ミシュウガクジ</t>
    </rPh>
    <rPh sb="5" eb="7">
      <t>ケイゲン</t>
    </rPh>
    <rPh sb="7" eb="8">
      <t>ワリ</t>
    </rPh>
    <phoneticPr fontId="7"/>
  </si>
  <si>
    <t>←未就学児均等割合</t>
    <rPh sb="1" eb="5">
      <t>ミシュウガクジ</t>
    </rPh>
    <rPh sb="5" eb="7">
      <t>キントウ</t>
    </rPh>
    <rPh sb="7" eb="8">
      <t>ワリ</t>
    </rPh>
    <rPh sb="8" eb="9">
      <t>ア</t>
    </rPh>
    <phoneticPr fontId="7"/>
  </si>
  <si>
    <t>軽減判定用の調整控除額</t>
    <rPh sb="0" eb="2">
      <t>ケイゲン</t>
    </rPh>
    <rPh sb="2" eb="5">
      <t>ハンテイヨウ</t>
    </rPh>
    <rPh sb="6" eb="8">
      <t>チョウセイ</t>
    </rPh>
    <rPh sb="8" eb="10">
      <t>コウジョ</t>
    </rPh>
    <rPh sb="10" eb="11">
      <t>ガク</t>
    </rPh>
    <phoneticPr fontId="6"/>
  </si>
  <si>
    <t>調整控除額</t>
    <rPh sb="0" eb="2">
      <t>チョウセイ</t>
    </rPh>
    <rPh sb="2" eb="4">
      <t>コウジョ</t>
    </rPh>
    <rPh sb="4" eb="5">
      <t>ガク</t>
    </rPh>
    <phoneticPr fontId="6"/>
  </si>
  <si>
    <t>・年度途中で40歳、65歳、75歳になられる方がいる場合。
・給与等の収入金額が850万円を超え、調整控除を受けている場合。
・お一人の合計所得金額が2400万円を超える場合。（大抵の場合、保険料は限度額となります）</t>
    <rPh sb="1" eb="3">
      <t>ネンド</t>
    </rPh>
    <rPh sb="3" eb="5">
      <t>トチュウ</t>
    </rPh>
    <rPh sb="8" eb="9">
      <t>サイ</t>
    </rPh>
    <rPh sb="12" eb="13">
      <t>サイ</t>
    </rPh>
    <rPh sb="16" eb="17">
      <t>サイ</t>
    </rPh>
    <rPh sb="22" eb="23">
      <t>カタ</t>
    </rPh>
    <rPh sb="26" eb="28">
      <t>バアイ</t>
    </rPh>
    <rPh sb="65" eb="67">
      <t>ヒトリ</t>
    </rPh>
    <rPh sb="68" eb="70">
      <t>ゴウケイ</t>
    </rPh>
    <rPh sb="70" eb="72">
      <t>ショトク</t>
    </rPh>
    <rPh sb="72" eb="74">
      <t>キンガク</t>
    </rPh>
    <rPh sb="79" eb="81">
      <t>マンエン</t>
    </rPh>
    <rPh sb="82" eb="83">
      <t>コ</t>
    </rPh>
    <rPh sb="85" eb="87">
      <t>バアイ</t>
    </rPh>
    <rPh sb="89" eb="91">
      <t>タイテイ</t>
    </rPh>
    <rPh sb="92" eb="94">
      <t>バアイ</t>
    </rPh>
    <rPh sb="95" eb="98">
      <t>ホケンリョウ</t>
    </rPh>
    <rPh sb="99" eb="101">
      <t>ゲンド</t>
    </rPh>
    <rPh sb="101" eb="102">
      <t>ガク</t>
    </rPh>
    <phoneticPr fontId="7"/>
  </si>
  <si>
    <t>※こちらの試算シートは下記の場合、保険料が正しく計算されない場合がございます。試算ご希望の方は保険相談課までご連絡ください。</t>
    <rPh sb="5" eb="7">
      <t>シサン</t>
    </rPh>
    <rPh sb="11" eb="13">
      <t>カキ</t>
    </rPh>
    <rPh sb="14" eb="16">
      <t>バアイ</t>
    </rPh>
    <rPh sb="17" eb="20">
      <t>ホケンリョウ</t>
    </rPh>
    <rPh sb="21" eb="22">
      <t>タダ</t>
    </rPh>
    <rPh sb="22" eb="23">
      <t>カズマサ</t>
    </rPh>
    <rPh sb="24" eb="26">
      <t>ケイサン</t>
    </rPh>
    <rPh sb="30" eb="32">
      <t>バアイ</t>
    </rPh>
    <rPh sb="39" eb="41">
      <t>シサン</t>
    </rPh>
    <rPh sb="42" eb="44">
      <t>キボウ</t>
    </rPh>
    <rPh sb="45" eb="46">
      <t>カタ</t>
    </rPh>
    <rPh sb="47" eb="49">
      <t>ホケン</t>
    </rPh>
    <rPh sb="49" eb="51">
      <t>ソウダン</t>
    </rPh>
    <rPh sb="51" eb="52">
      <t>カ</t>
    </rPh>
    <rPh sb="55" eb="57">
      <t>レンラク</t>
    </rPh>
    <phoneticPr fontId="7"/>
  </si>
  <si>
    <r>
      <t>・住民票の世帯主および同一世帯の加入者の</t>
    </r>
    <r>
      <rPr>
        <b/>
        <sz val="20"/>
        <color theme="1"/>
        <rFont val="ＭＳ Ｐゴシック"/>
        <family val="3"/>
        <charset val="128"/>
        <scheme val="minor"/>
      </rPr>
      <t>「②令和6年（令和6年1月1日～令和6年12月31日）の所得情報」</t>
    </r>
    <r>
      <rPr>
        <b/>
        <sz val="20"/>
        <rFont val="ＭＳ Ｐゴシック"/>
        <family val="3"/>
        <charset val="128"/>
        <scheme val="minor"/>
      </rPr>
      <t xml:space="preserve"> </t>
    </r>
    <r>
      <rPr>
        <sz val="16"/>
        <rFont val="ＭＳ Ｐゴシック"/>
        <family val="3"/>
        <charset val="128"/>
        <scheme val="minor"/>
      </rPr>
      <t>欄の</t>
    </r>
    <rPh sb="1" eb="4">
      <t>ジュウミンヒョウ</t>
    </rPh>
    <rPh sb="5" eb="8">
      <t>セタイヌシ</t>
    </rPh>
    <rPh sb="11" eb="13">
      <t>ドウイツ</t>
    </rPh>
    <rPh sb="13" eb="15">
      <t>セタイ</t>
    </rPh>
    <rPh sb="16" eb="19">
      <t>カニュウシャ</t>
    </rPh>
    <rPh sb="22" eb="24">
      <t>レイワ</t>
    </rPh>
    <rPh sb="25" eb="26">
      <t>ネン</t>
    </rPh>
    <rPh sb="27" eb="29">
      <t>レイワ</t>
    </rPh>
    <rPh sb="36" eb="38">
      <t>レイワ</t>
    </rPh>
    <rPh sb="39" eb="40">
      <t>ネン</t>
    </rPh>
    <rPh sb="48" eb="50">
      <t>ショトク</t>
    </rPh>
    <rPh sb="50" eb="52">
      <t>ジョウホウ</t>
    </rPh>
    <rPh sb="54" eb="55">
      <t>ラン</t>
    </rPh>
    <phoneticPr fontId="7"/>
  </si>
  <si>
    <t>②令和6年（令和6年1月1日～令和6年12月31日）の所得情報</t>
    <rPh sb="1" eb="3">
      <t>レイワ</t>
    </rPh>
    <rPh sb="4" eb="5">
      <t>ネン</t>
    </rPh>
    <rPh sb="6" eb="8">
      <t>レイワ</t>
    </rPh>
    <rPh sb="9" eb="10">
      <t>ネン</t>
    </rPh>
    <rPh sb="11" eb="12">
      <t>ガツ</t>
    </rPh>
    <rPh sb="13" eb="14">
      <t>ニチ</t>
    </rPh>
    <rPh sb="15" eb="17">
      <t>レイワ</t>
    </rPh>
    <rPh sb="18" eb="19">
      <t>ネン</t>
    </rPh>
    <rPh sb="21" eb="22">
      <t>ガツ</t>
    </rPh>
    <rPh sb="24" eb="25">
      <t>ニチ</t>
    </rPh>
    <rPh sb="27" eb="29">
      <t>ショトク</t>
    </rPh>
    <rPh sb="29" eb="31">
      <t>ジョウホウ</t>
    </rPh>
    <phoneticPr fontId="7"/>
  </si>
  <si>
    <t>令和7年度　豊中市国民健康保険料の試算</t>
    <rPh sb="0" eb="1">
      <t>レイ</t>
    </rPh>
    <rPh sb="1" eb="2">
      <t>ワ</t>
    </rPh>
    <rPh sb="3" eb="5">
      <t>ネンド</t>
    </rPh>
    <rPh sb="6" eb="9">
      <t>トヨナカシ</t>
    </rPh>
    <rPh sb="9" eb="11">
      <t>コクミン</t>
    </rPh>
    <rPh sb="11" eb="13">
      <t>ケンコウ</t>
    </rPh>
    <rPh sb="13" eb="16">
      <t>ホケンリョウ</t>
    </rPh>
    <rPh sb="17" eb="19">
      <t>シサン</t>
    </rPh>
    <phoneticPr fontId="7"/>
  </si>
  <si>
    <t>令和7年度　豊中市国民健康保険料の試算結果</t>
    <rPh sb="0" eb="1">
      <t>レイ</t>
    </rPh>
    <rPh sb="1" eb="2">
      <t>ワ</t>
    </rPh>
    <rPh sb="3" eb="5">
      <t>ネンド</t>
    </rPh>
    <rPh sb="6" eb="9">
      <t>トヨナカシ</t>
    </rPh>
    <rPh sb="9" eb="11">
      <t>コクミン</t>
    </rPh>
    <rPh sb="11" eb="13">
      <t>ケンコウ</t>
    </rPh>
    <rPh sb="13" eb="16">
      <t>ホケンリョウ</t>
    </rPh>
    <rPh sb="17" eb="19">
      <t>シサン</t>
    </rPh>
    <rPh sb="19" eb="21">
      <t>ケッカ</t>
    </rPh>
    <phoneticPr fontId="7"/>
  </si>
  <si>
    <t>令和7年度　年間保険料</t>
    <rPh sb="0" eb="1">
      <t>レイ</t>
    </rPh>
    <rPh sb="1" eb="2">
      <t>ワ</t>
    </rPh>
    <rPh sb="3" eb="5">
      <t>ネンド</t>
    </rPh>
    <rPh sb="6" eb="8">
      <t>ネンカン</t>
    </rPh>
    <rPh sb="8" eb="11">
      <t>ホケンリョウ</t>
    </rPh>
    <phoneticPr fontId="7"/>
  </si>
  <si>
    <t>令和7年度　1か月あたりの保険料</t>
    <rPh sb="0" eb="1">
      <t>レイ</t>
    </rPh>
    <rPh sb="1" eb="2">
      <t>ワ</t>
    </rPh>
    <rPh sb="3" eb="5">
      <t>ネンド</t>
    </rPh>
    <rPh sb="8" eb="9">
      <t>ゲツ</t>
    </rPh>
    <rPh sb="13" eb="16">
      <t>ホケンリョウ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</si>
</sst>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 ;[Red]\-#,##0\ "/>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2"/>
      <color theme="1"/>
      <name val="ＭＳ Ｐゴシック"/>
      <family val="3"/>
      <charset val="128"/>
      <scheme val="minor"/>
    </font>
    <font>
      <sz val="18"/>
      <color theme="1"/>
      <name val="ＭＳ Ｐゴシック"/>
      <family val="3"/>
      <charset val="128"/>
      <scheme val="minor"/>
    </font>
    <font>
      <sz val="24"/>
      <color theme="1"/>
      <name val="ＭＳ Ｐゴシック"/>
      <family val="3"/>
      <charset val="128"/>
      <scheme val="minor"/>
    </font>
    <font>
      <sz val="11"/>
      <color theme="1"/>
      <name val="ＭＳ Ｐゴシック"/>
      <family val="3"/>
      <charset val="128"/>
      <scheme val="minor"/>
    </font>
    <font>
      <sz val="24"/>
      <color rgb="FFFF1919"/>
      <name val="ＭＳ Ｐゴシック"/>
      <family val="3"/>
      <charset val="128"/>
      <scheme val="minor"/>
    </font>
    <font>
      <sz val="20"/>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14"/>
      <color theme="1"/>
      <name val="ＭＳ Ｐゴシック"/>
      <family val="3"/>
      <charset val="128"/>
      <scheme val="minor"/>
    </font>
    <font>
      <sz val="14"/>
      <name val="ＭＳ Ｐゴシック"/>
      <family val="3"/>
      <charset val="128"/>
    </font>
    <font>
      <b/>
      <sz val="16"/>
      <color theme="1"/>
      <name val="ＭＳ Ｐゴシック"/>
      <family val="3"/>
      <charset val="128"/>
      <scheme val="minor"/>
    </font>
    <font>
      <b/>
      <sz val="20"/>
      <color theme="1"/>
      <name val="ＭＳ Ｐゴシック"/>
      <family val="3"/>
      <charset val="128"/>
      <scheme val="minor"/>
    </font>
    <font>
      <sz val="26"/>
      <color theme="1"/>
      <name val="ＭＳ Ｐゴシック"/>
      <family val="2"/>
      <charset val="128"/>
      <scheme val="minor"/>
    </font>
    <font>
      <sz val="26"/>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28"/>
      <color theme="1"/>
      <name val="ＭＳ Ｐゴシック"/>
      <family val="3"/>
      <charset val="128"/>
      <scheme val="minor"/>
    </font>
    <font>
      <sz val="24"/>
      <color theme="1"/>
      <name val="ＭＳ Ｐゴシック"/>
      <family val="2"/>
      <charset val="128"/>
      <scheme val="minor"/>
    </font>
    <font>
      <b/>
      <sz val="14"/>
      <color rgb="FFFF0000"/>
      <name val="ＭＳ Ｐゴシック"/>
      <family val="3"/>
      <charset val="128"/>
      <scheme val="minor"/>
    </font>
    <font>
      <b/>
      <sz val="14"/>
      <color rgb="FFFF0000"/>
      <name val="ＭＳ Ｐゴシック"/>
      <family val="3"/>
      <charset val="128"/>
    </font>
    <font>
      <b/>
      <sz val="23"/>
      <color theme="1"/>
      <name val="ＭＳ Ｐゴシック"/>
      <family val="3"/>
      <charset val="128"/>
      <scheme val="minor"/>
    </font>
    <font>
      <sz val="18"/>
      <color rgb="FFFF0000"/>
      <name val="ＭＳ Ｐゴシック"/>
      <family val="2"/>
      <charset val="128"/>
      <scheme val="minor"/>
    </font>
    <font>
      <b/>
      <sz val="16"/>
      <color rgb="FFFF0000"/>
      <name val="ＭＳ Ｐゴシック"/>
      <family val="3"/>
      <charset val="128"/>
      <scheme val="minor"/>
    </font>
    <font>
      <sz val="24"/>
      <color rgb="FFFF0000"/>
      <name val="ＭＳ Ｐゴシック"/>
      <family val="3"/>
      <charset val="128"/>
      <scheme val="minor"/>
    </font>
    <font>
      <sz val="9"/>
      <color theme="1"/>
      <name val="ＭＳ Ｐゴシック"/>
      <family val="3"/>
      <charset val="128"/>
      <scheme val="minor"/>
    </font>
    <font>
      <sz val="11"/>
      <color rgb="FFFF0000"/>
      <name val="ＭＳ Ｐゴシック"/>
      <family val="3"/>
      <charset val="128"/>
    </font>
    <font>
      <sz val="12"/>
      <name val="ＭＳ Ｐゴシック"/>
      <family val="3"/>
      <charset val="128"/>
    </font>
    <font>
      <sz val="14"/>
      <color rgb="FFFF0000"/>
      <name val="ＭＳ Ｐゴシック"/>
      <family val="3"/>
      <charset val="128"/>
    </font>
    <font>
      <sz val="11"/>
      <color rgb="FFEA0000"/>
      <name val="ＭＳ Ｐゴシック"/>
      <family val="3"/>
      <charset val="128"/>
    </font>
    <font>
      <sz val="12"/>
      <color rgb="FFEA0000"/>
      <name val="ＭＳ Ｐゴシック"/>
      <family val="3"/>
      <charset val="128"/>
    </font>
    <font>
      <sz val="11"/>
      <color rgb="FFEA0000"/>
      <name val="ＭＳ Ｐ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rgb="FF99CCFF"/>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CCFF"/>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s>
  <cellStyleXfs count="3">
    <xf numFmtId="0" fontId="0" fillId="0" borderId="0">
      <alignment vertical="center"/>
    </xf>
    <xf numFmtId="38" fontId="5" fillId="0" borderId="0" applyFont="0" applyFill="0" applyBorder="0" applyAlignment="0" applyProtection="0">
      <alignment vertical="center"/>
    </xf>
    <xf numFmtId="0" fontId="4" fillId="0" borderId="0">
      <alignment vertical="center"/>
    </xf>
  </cellStyleXfs>
  <cellXfs count="143">
    <xf numFmtId="0" fontId="0" fillId="0" borderId="0" xfId="0">
      <alignment vertical="center"/>
    </xf>
    <xf numFmtId="0" fontId="0" fillId="0" borderId="0" xfId="0" applyAlignment="1">
      <alignment horizontal="center" vertical="center"/>
    </xf>
    <xf numFmtId="0" fontId="0" fillId="0" borderId="1" xfId="0" applyBorder="1">
      <alignment vertical="center"/>
    </xf>
    <xf numFmtId="38" fontId="0" fillId="0" borderId="1" xfId="1" applyFont="1" applyBorder="1">
      <alignment vertical="center"/>
    </xf>
    <xf numFmtId="0" fontId="0" fillId="3" borderId="1" xfId="0" applyFill="1" applyBorder="1" applyAlignment="1">
      <alignment horizontal="center" vertical="center"/>
    </xf>
    <xf numFmtId="0" fontId="0" fillId="3" borderId="1" xfId="0" applyFill="1" applyBorder="1">
      <alignment vertical="center"/>
    </xf>
    <xf numFmtId="0" fontId="0" fillId="3" borderId="1" xfId="0" applyFill="1" applyBorder="1" applyAlignment="1">
      <alignment horizontal="center" vertical="center" shrinkToFit="1"/>
    </xf>
    <xf numFmtId="0" fontId="4" fillId="0" borderId="0" xfId="2">
      <alignment vertical="center"/>
    </xf>
    <xf numFmtId="0" fontId="0" fillId="0" borderId="3" xfId="0" applyBorder="1">
      <alignment vertical="center"/>
    </xf>
    <xf numFmtId="0" fontId="12" fillId="0" borderId="0" xfId="2" applyFont="1">
      <alignment vertical="center"/>
    </xf>
    <xf numFmtId="0" fontId="10" fillId="0" borderId="0" xfId="2" applyFont="1">
      <alignment vertical="center"/>
    </xf>
    <xf numFmtId="38" fontId="9" fillId="0" borderId="5" xfId="1" applyFont="1" applyBorder="1">
      <alignment vertical="center"/>
    </xf>
    <xf numFmtId="38" fontId="9" fillId="0" borderId="4" xfId="1" applyFont="1" applyBorder="1" applyAlignment="1">
      <alignment horizontal="center" vertical="center"/>
    </xf>
    <xf numFmtId="38" fontId="9" fillId="0" borderId="10" xfId="1" applyFont="1" applyBorder="1">
      <alignment vertical="center"/>
    </xf>
    <xf numFmtId="38" fontId="9" fillId="0" borderId="5" xfId="1" applyFont="1" applyFill="1" applyBorder="1">
      <alignment vertical="center"/>
    </xf>
    <xf numFmtId="38" fontId="9" fillId="0" borderId="4" xfId="1" applyFont="1" applyFill="1" applyBorder="1" applyAlignment="1">
      <alignment horizontal="center" vertical="center"/>
    </xf>
    <xf numFmtId="0" fontId="8" fillId="0" borderId="0" xfId="2" applyFont="1" applyAlignment="1">
      <alignment horizontal="center" vertical="center"/>
    </xf>
    <xf numFmtId="0" fontId="9" fillId="0" borderId="0" xfId="2" applyFont="1" applyAlignment="1">
      <alignment horizontal="center" vertical="center"/>
    </xf>
    <xf numFmtId="38" fontId="9" fillId="0" borderId="0" xfId="1" applyFont="1" applyFill="1" applyBorder="1" applyAlignment="1">
      <alignment horizontal="center" vertical="center"/>
    </xf>
    <xf numFmtId="0" fontId="9" fillId="0" borderId="1" xfId="2" applyFont="1" applyBorder="1" applyAlignment="1">
      <alignment horizontal="center" vertical="center"/>
    </xf>
    <xf numFmtId="0" fontId="4" fillId="0" borderId="1" xfId="2" applyBorder="1">
      <alignment vertical="center"/>
    </xf>
    <xf numFmtId="38" fontId="5" fillId="0" borderId="1" xfId="1" applyFont="1" applyBorder="1">
      <alignment vertical="center"/>
    </xf>
    <xf numFmtId="38" fontId="4" fillId="0" borderId="1" xfId="2" applyNumberFormat="1" applyBorder="1">
      <alignment vertical="center"/>
    </xf>
    <xf numFmtId="0" fontId="11" fillId="0" borderId="0" xfId="2" applyFont="1" applyAlignment="1">
      <alignment horizontal="center" vertical="center"/>
    </xf>
    <xf numFmtId="9" fontId="0" fillId="0" borderId="0" xfId="0" applyNumberFormat="1">
      <alignment vertical="center"/>
    </xf>
    <xf numFmtId="0" fontId="19" fillId="0" borderId="0" xfId="0" applyFont="1">
      <alignment vertical="center"/>
    </xf>
    <xf numFmtId="0" fontId="16" fillId="0" borderId="0" xfId="2" applyFont="1">
      <alignment vertical="center"/>
    </xf>
    <xf numFmtId="0" fontId="17" fillId="0" borderId="0" xfId="2" applyFont="1">
      <alignment vertical="center"/>
    </xf>
    <xf numFmtId="38" fontId="9" fillId="5" borderId="5" xfId="1" applyFont="1" applyFill="1" applyBorder="1" applyProtection="1">
      <alignment vertical="center"/>
      <protection locked="0"/>
    </xf>
    <xf numFmtId="38" fontId="9" fillId="5" borderId="4" xfId="1" applyFont="1" applyFill="1" applyBorder="1" applyAlignment="1">
      <alignment horizontal="center" vertical="center"/>
    </xf>
    <xf numFmtId="38" fontId="9" fillId="5" borderId="10" xfId="1" applyFont="1" applyFill="1" applyBorder="1" applyAlignment="1">
      <alignment horizontal="center" vertical="center"/>
    </xf>
    <xf numFmtId="10" fontId="4" fillId="0" borderId="1" xfId="2" applyNumberFormat="1" applyBorder="1">
      <alignment vertical="center"/>
    </xf>
    <xf numFmtId="0" fontId="9" fillId="0" borderId="11" xfId="2" applyFont="1" applyBorder="1" applyAlignment="1">
      <alignment horizontal="center" vertical="center"/>
    </xf>
    <xf numFmtId="38" fontId="9" fillId="0" borderId="11" xfId="1" applyFont="1" applyFill="1" applyBorder="1" applyAlignment="1">
      <alignment horizontal="center" vertical="center"/>
    </xf>
    <xf numFmtId="0" fontId="1" fillId="0" borderId="0" xfId="2" applyFont="1" applyAlignment="1">
      <alignment horizontal="center" vertical="center"/>
    </xf>
    <xf numFmtId="0" fontId="3" fillId="3" borderId="1" xfId="2" applyFont="1" applyFill="1" applyBorder="1" applyAlignment="1">
      <alignment horizontal="center" vertical="center"/>
    </xf>
    <xf numFmtId="0" fontId="2" fillId="3" borderId="1" xfId="2" applyFont="1" applyFill="1" applyBorder="1" applyAlignment="1">
      <alignment horizontal="center" vertical="center"/>
    </xf>
    <xf numFmtId="0" fontId="13" fillId="3" borderId="1" xfId="2" applyFont="1" applyFill="1" applyBorder="1">
      <alignment vertical="center"/>
    </xf>
    <xf numFmtId="0" fontId="1" fillId="3" borderId="1" xfId="2" applyFont="1" applyFill="1" applyBorder="1" applyAlignment="1">
      <alignment horizontal="center" vertical="center"/>
    </xf>
    <xf numFmtId="0" fontId="4" fillId="3" borderId="1" xfId="2" applyFill="1" applyBorder="1">
      <alignment vertical="center"/>
    </xf>
    <xf numFmtId="0" fontId="1" fillId="3" borderId="1" xfId="2" applyFont="1" applyFill="1" applyBorder="1">
      <alignment vertical="center"/>
    </xf>
    <xf numFmtId="0" fontId="26" fillId="0" borderId="0" xfId="2" applyFont="1">
      <alignment vertical="center"/>
    </xf>
    <xf numFmtId="0" fontId="27" fillId="0" borderId="0" xfId="2" applyFont="1">
      <alignment vertical="center"/>
    </xf>
    <xf numFmtId="0" fontId="31" fillId="0" borderId="0" xfId="0" applyFont="1">
      <alignment vertical="center"/>
    </xf>
    <xf numFmtId="0" fontId="30" fillId="0" borderId="0" xfId="2" applyFont="1">
      <alignment vertical="center"/>
    </xf>
    <xf numFmtId="38" fontId="0" fillId="0" borderId="1" xfId="1" applyFont="1" applyFill="1" applyBorder="1">
      <alignment vertical="center"/>
    </xf>
    <xf numFmtId="10" fontId="0" fillId="0" borderId="1" xfId="1" applyNumberFormat="1" applyFont="1" applyFill="1" applyBorder="1">
      <alignment vertical="center"/>
    </xf>
    <xf numFmtId="38" fontId="12" fillId="0" borderId="0" xfId="1" applyFont="1" applyFill="1" applyBorder="1">
      <alignment vertical="center"/>
    </xf>
    <xf numFmtId="38" fontId="12" fillId="0" borderId="0" xfId="1" applyFont="1" applyFill="1" applyBorder="1" applyAlignment="1">
      <alignment horizontal="center" vertical="center"/>
    </xf>
    <xf numFmtId="38" fontId="12" fillId="0" borderId="0" xfId="1" applyFont="1" applyFill="1" applyBorder="1" applyAlignment="1">
      <alignment horizontal="right" vertical="center"/>
    </xf>
    <xf numFmtId="0" fontId="22" fillId="0" borderId="0" xfId="2" applyFont="1">
      <alignment vertical="center"/>
    </xf>
    <xf numFmtId="0" fontId="23" fillId="0" borderId="0" xfId="2" applyFont="1">
      <alignment vertical="center"/>
    </xf>
    <xf numFmtId="0" fontId="28" fillId="0" borderId="0" xfId="2" applyFont="1" applyAlignment="1">
      <alignment horizontal="center" vertical="center"/>
    </xf>
    <xf numFmtId="14" fontId="16" fillId="0" borderId="0" xfId="2" applyNumberFormat="1" applyFont="1">
      <alignment vertical="center"/>
    </xf>
    <xf numFmtId="0" fontId="0" fillId="2" borderId="1" xfId="0" applyFill="1" applyBorder="1" applyAlignment="1">
      <alignment horizontal="right" vertical="center"/>
    </xf>
    <xf numFmtId="38" fontId="0" fillId="2" borderId="1" xfId="0" applyNumberFormat="1" applyFill="1" applyBorder="1">
      <alignment vertical="center"/>
    </xf>
    <xf numFmtId="0" fontId="1" fillId="0" borderId="0" xfId="2" applyFont="1">
      <alignment vertical="center"/>
    </xf>
    <xf numFmtId="0" fontId="33" fillId="0" borderId="0" xfId="2" applyFont="1">
      <alignment vertical="center"/>
    </xf>
    <xf numFmtId="0" fontId="34" fillId="0" borderId="0" xfId="2" applyFont="1">
      <alignment vertical="center"/>
    </xf>
    <xf numFmtId="0" fontId="35" fillId="0" borderId="0" xfId="2" applyFont="1">
      <alignment vertical="center"/>
    </xf>
    <xf numFmtId="38" fontId="9" fillId="0" borderId="10" xfId="1" applyFont="1" applyBorder="1" applyAlignment="1">
      <alignment horizontal="center" vertical="center"/>
    </xf>
    <xf numFmtId="38" fontId="9" fillId="0" borderId="10" xfId="1" applyFont="1" applyFill="1" applyBorder="1" applyAlignment="1">
      <alignment horizontal="center" vertical="center"/>
    </xf>
    <xf numFmtId="0" fontId="36" fillId="8" borderId="1" xfId="2" applyFont="1" applyFill="1" applyBorder="1" applyAlignment="1">
      <alignment horizontal="center" vertical="center" wrapText="1"/>
    </xf>
    <xf numFmtId="0" fontId="19" fillId="0" borderId="1" xfId="0" applyFont="1" applyBorder="1">
      <alignment vertical="center"/>
    </xf>
    <xf numFmtId="0" fontId="0" fillId="0" borderId="10" xfId="0" applyBorder="1">
      <alignment vertical="center"/>
    </xf>
    <xf numFmtId="0" fontId="0" fillId="4" borderId="1" xfId="0" applyFill="1" applyBorder="1">
      <alignment vertical="center"/>
    </xf>
    <xf numFmtId="0" fontId="0" fillId="0" borderId="14" xfId="0" applyBorder="1">
      <alignment vertical="center"/>
    </xf>
    <xf numFmtId="38" fontId="0" fillId="0" borderId="1" xfId="0" applyNumberFormat="1" applyBorder="1">
      <alignment vertical="center"/>
    </xf>
    <xf numFmtId="0" fontId="0" fillId="9" borderId="0" xfId="0" applyFill="1">
      <alignment vertical="center"/>
    </xf>
    <xf numFmtId="0" fontId="0" fillId="9" borderId="1" xfId="0" applyFill="1" applyBorder="1" applyAlignment="1">
      <alignment horizontal="center" vertical="center"/>
    </xf>
    <xf numFmtId="0" fontId="0" fillId="9" borderId="1" xfId="0" applyFill="1" applyBorder="1">
      <alignment vertical="center"/>
    </xf>
    <xf numFmtId="0" fontId="0" fillId="9" borderId="1" xfId="0" applyFill="1" applyBorder="1" applyAlignment="1">
      <alignment horizontal="right" vertical="center"/>
    </xf>
    <xf numFmtId="0" fontId="0" fillId="9" borderId="0" xfId="0" applyFill="1" applyProtection="1">
      <alignment vertical="center"/>
      <protection locked="0"/>
    </xf>
    <xf numFmtId="0" fontId="0" fillId="0" borderId="13" xfId="0" applyBorder="1">
      <alignment vertical="center"/>
    </xf>
    <xf numFmtId="0" fontId="4" fillId="9" borderId="1" xfId="2" applyFill="1" applyBorder="1">
      <alignment vertical="center"/>
    </xf>
    <xf numFmtId="10" fontId="38" fillId="2" borderId="1" xfId="1" applyNumberFormat="1" applyFont="1" applyFill="1" applyBorder="1" applyProtection="1">
      <alignment vertical="center"/>
      <protection locked="0"/>
    </xf>
    <xf numFmtId="38" fontId="38" fillId="2" borderId="1" xfId="1" applyFont="1" applyFill="1" applyBorder="1" applyProtection="1">
      <alignment vertical="center"/>
      <protection locked="0"/>
    </xf>
    <xf numFmtId="38" fontId="38" fillId="2" borderId="1" xfId="1" applyFont="1" applyFill="1" applyBorder="1" applyAlignment="1" applyProtection="1">
      <alignment horizontal="right" vertical="center"/>
      <protection locked="0"/>
    </xf>
    <xf numFmtId="9" fontId="38" fillId="3" borderId="1" xfId="0" applyNumberFormat="1" applyFont="1" applyFill="1" applyBorder="1">
      <alignment vertical="center"/>
    </xf>
    <xf numFmtId="38" fontId="38" fillId="2" borderId="1" xfId="1" applyFont="1" applyFill="1" applyBorder="1" applyAlignment="1">
      <alignment horizontal="center" vertical="center"/>
    </xf>
    <xf numFmtId="0" fontId="38" fillId="3" borderId="1" xfId="0" applyFont="1" applyFill="1" applyBorder="1" applyAlignment="1">
      <alignment horizontal="center" vertical="center"/>
    </xf>
    <xf numFmtId="38" fontId="38" fillId="3" borderId="1" xfId="1" applyFont="1" applyFill="1" applyBorder="1" applyAlignment="1">
      <alignment horizontal="center" vertical="center"/>
    </xf>
    <xf numFmtId="38" fontId="4" fillId="8" borderId="12" xfId="2" applyNumberFormat="1" applyFill="1" applyBorder="1">
      <alignment vertical="center"/>
    </xf>
    <xf numFmtId="38" fontId="13" fillId="0" borderId="0" xfId="1" applyFont="1" applyFill="1" applyBorder="1" applyAlignment="1">
      <alignment horizontal="center" vertical="center"/>
    </xf>
    <xf numFmtId="38" fontId="1" fillId="8" borderId="5" xfId="2" applyNumberFormat="1" applyFont="1" applyFill="1" applyBorder="1">
      <alignment vertical="center"/>
    </xf>
    <xf numFmtId="0" fontId="37" fillId="0" borderId="15" xfId="0" applyFont="1" applyBorder="1">
      <alignment vertical="center"/>
    </xf>
    <xf numFmtId="0" fontId="37" fillId="0" borderId="1" xfId="0" applyFont="1" applyBorder="1">
      <alignment vertical="center"/>
    </xf>
    <xf numFmtId="0" fontId="37" fillId="0" borderId="0" xfId="0" applyFont="1">
      <alignment vertical="center"/>
    </xf>
    <xf numFmtId="38" fontId="37" fillId="0" borderId="1" xfId="0" applyNumberFormat="1" applyFont="1" applyBorder="1">
      <alignment vertical="center"/>
    </xf>
    <xf numFmtId="38" fontId="37" fillId="0" borderId="0" xfId="0" applyNumberFormat="1" applyFont="1">
      <alignment vertical="center"/>
    </xf>
    <xf numFmtId="0" fontId="0" fillId="0" borderId="1" xfId="0" applyBorder="1" applyAlignment="1">
      <alignment horizontal="center" vertical="center"/>
    </xf>
    <xf numFmtId="0" fontId="0" fillId="0" borderId="1" xfId="0" applyBorder="1" applyAlignment="1">
      <alignment horizontal="right" vertical="center"/>
    </xf>
    <xf numFmtId="0" fontId="0" fillId="0" borderId="0" xfId="0" applyProtection="1">
      <alignment vertical="center"/>
      <protection locked="0"/>
    </xf>
    <xf numFmtId="3" fontId="0" fillId="0" borderId="1" xfId="0" applyNumberFormat="1" applyBorder="1">
      <alignment vertical="center"/>
    </xf>
    <xf numFmtId="0" fontId="0" fillId="0" borderId="0" xfId="0" applyAlignment="1">
      <alignment horizontal="right" vertical="center"/>
    </xf>
    <xf numFmtId="0" fontId="40" fillId="3" borderId="1" xfId="0" applyFont="1" applyFill="1" applyBorder="1" applyAlignment="1">
      <alignment vertical="center" wrapText="1"/>
    </xf>
    <xf numFmtId="38" fontId="40" fillId="0" borderId="1" xfId="1" applyFont="1" applyBorder="1">
      <alignment vertical="center"/>
    </xf>
    <xf numFmtId="0" fontId="41" fillId="3" borderId="1" xfId="0" applyFont="1" applyFill="1" applyBorder="1">
      <alignment vertical="center"/>
    </xf>
    <xf numFmtId="0" fontId="42" fillId="0" borderId="0" xfId="2" applyFont="1">
      <alignment vertical="center"/>
    </xf>
    <xf numFmtId="0" fontId="40" fillId="3" borderId="1" xfId="0" applyFont="1" applyFill="1" applyBorder="1" applyAlignment="1">
      <alignment horizontal="center" vertical="center"/>
    </xf>
    <xf numFmtId="38" fontId="13" fillId="8" borderId="1" xfId="1" applyFont="1" applyFill="1" applyBorder="1" applyAlignment="1" applyProtection="1">
      <alignment horizontal="right" vertical="center"/>
    </xf>
    <xf numFmtId="0" fontId="22" fillId="7" borderId="0" xfId="2" applyFont="1" applyFill="1" applyAlignment="1">
      <alignment horizontal="center" vertical="center"/>
    </xf>
    <xf numFmtId="176" fontId="8" fillId="0" borderId="0" xfId="2" applyNumberFormat="1" applyFont="1" applyAlignment="1">
      <alignment horizontal="right" vertical="center"/>
    </xf>
    <xf numFmtId="38" fontId="28" fillId="0" borderId="0" xfId="1" applyFont="1" applyFill="1" applyBorder="1" applyAlignment="1">
      <alignment horizontal="right" vertical="center"/>
    </xf>
    <xf numFmtId="0" fontId="29" fillId="6" borderId="1" xfId="2" applyFont="1" applyFill="1" applyBorder="1" applyAlignment="1">
      <alignment horizontal="center" vertical="center"/>
    </xf>
    <xf numFmtId="0" fontId="29" fillId="4" borderId="1" xfId="2" applyFont="1" applyFill="1" applyBorder="1" applyAlignment="1">
      <alignment horizontal="center" vertical="center"/>
    </xf>
    <xf numFmtId="0" fontId="12" fillId="4" borderId="1" xfId="2" applyFont="1" applyFill="1" applyBorder="1" applyAlignment="1">
      <alignment horizontal="center" vertical="center"/>
    </xf>
    <xf numFmtId="177" fontId="12" fillId="0" borderId="1" xfId="1" applyNumberFormat="1" applyFont="1" applyBorder="1" applyAlignment="1">
      <alignment horizontal="right" vertical="center"/>
    </xf>
    <xf numFmtId="38" fontId="12" fillId="0" borderId="1" xfId="1" applyFont="1" applyBorder="1" applyAlignment="1">
      <alignment horizontal="right" vertical="center"/>
    </xf>
    <xf numFmtId="0" fontId="29" fillId="0" borderId="0" xfId="2" applyFont="1" applyAlignment="1">
      <alignment horizontal="center" vertical="center"/>
    </xf>
    <xf numFmtId="0" fontId="12" fillId="0" borderId="0" xfId="2" applyFont="1" applyAlignment="1">
      <alignment horizontal="center" vertical="center"/>
    </xf>
    <xf numFmtId="0" fontId="12" fillId="0" borderId="1" xfId="2" applyFont="1" applyBorder="1" applyAlignment="1">
      <alignment horizontal="right" vertical="center"/>
    </xf>
    <xf numFmtId="0" fontId="29" fillId="0" borderId="1" xfId="2" applyFont="1" applyBorder="1" applyAlignment="1">
      <alignment horizontal="right" vertical="center"/>
    </xf>
    <xf numFmtId="0" fontId="1" fillId="8" borderId="1" xfId="2" applyFont="1" applyFill="1" applyBorder="1" applyAlignment="1">
      <alignment horizontal="right" vertical="center"/>
    </xf>
    <xf numFmtId="0" fontId="15" fillId="0" borderId="5" xfId="2" applyFont="1" applyBorder="1" applyAlignment="1">
      <alignment horizontal="center" vertical="center"/>
    </xf>
    <xf numFmtId="0" fontId="15" fillId="0" borderId="4" xfId="2" applyFont="1" applyBorder="1" applyAlignment="1">
      <alignment horizontal="center" vertical="center"/>
    </xf>
    <xf numFmtId="38" fontId="28" fillId="0" borderId="2" xfId="1" applyFont="1" applyBorder="1" applyAlignment="1">
      <alignment horizontal="right" vertical="center"/>
    </xf>
    <xf numFmtId="38" fontId="28" fillId="0" borderId="10" xfId="1" applyFont="1" applyBorder="1" applyAlignment="1">
      <alignment horizontal="right" vertical="center"/>
    </xf>
    <xf numFmtId="0" fontId="32" fillId="0" borderId="2" xfId="2" applyFont="1" applyBorder="1" applyAlignment="1">
      <alignment horizontal="left" vertical="center"/>
    </xf>
    <xf numFmtId="0" fontId="32" fillId="0" borderId="10" xfId="2" applyFont="1" applyBorder="1" applyAlignment="1">
      <alignment horizontal="left" vertical="center"/>
    </xf>
    <xf numFmtId="38" fontId="14" fillId="0" borderId="0" xfId="1" applyFont="1" applyBorder="1" applyAlignment="1">
      <alignment horizontal="center" vertical="center"/>
    </xf>
    <xf numFmtId="0" fontId="17" fillId="0" borderId="0" xfId="2" applyFont="1" applyAlignment="1">
      <alignment horizontal="left" vertical="center" wrapText="1"/>
    </xf>
    <xf numFmtId="0" fontId="16" fillId="0" borderId="0" xfId="2" applyFont="1" applyAlignment="1">
      <alignment horizontal="left" vertical="center" wrapText="1"/>
    </xf>
    <xf numFmtId="0" fontId="18" fillId="4" borderId="5" xfId="2" applyFont="1" applyFill="1" applyBorder="1" applyAlignment="1">
      <alignment horizontal="center" vertical="center"/>
    </xf>
    <xf numFmtId="0" fontId="18" fillId="4" borderId="4" xfId="2" applyFont="1" applyFill="1" applyBorder="1" applyAlignment="1">
      <alignment horizontal="center" vertical="center"/>
    </xf>
    <xf numFmtId="0" fontId="18" fillId="4" borderId="1" xfId="2" applyFont="1" applyFill="1" applyBorder="1" applyAlignment="1">
      <alignment horizontal="center" vertical="center"/>
    </xf>
    <xf numFmtId="0" fontId="8" fillId="4" borderId="1" xfId="2" applyFont="1" applyFill="1" applyBorder="1" applyAlignment="1">
      <alignment horizontal="center" vertical="center"/>
    </xf>
    <xf numFmtId="0" fontId="18" fillId="4" borderId="7" xfId="2" applyFont="1" applyFill="1" applyBorder="1" applyAlignment="1">
      <alignment horizontal="center" vertical="center"/>
    </xf>
    <xf numFmtId="0" fontId="21" fillId="4" borderId="6" xfId="2" applyFont="1" applyFill="1" applyBorder="1" applyAlignment="1">
      <alignment horizontal="center" vertical="center"/>
    </xf>
    <xf numFmtId="0" fontId="21" fillId="4" borderId="7" xfId="2" applyFont="1" applyFill="1" applyBorder="1" applyAlignment="1">
      <alignment horizontal="center" vertical="center"/>
    </xf>
    <xf numFmtId="0" fontId="21" fillId="4" borderId="8" xfId="2" applyFont="1" applyFill="1" applyBorder="1" applyAlignment="1">
      <alignment horizontal="center" vertical="center"/>
    </xf>
    <xf numFmtId="0" fontId="21" fillId="4" borderId="9" xfId="2" applyFont="1" applyFill="1" applyBorder="1" applyAlignment="1">
      <alignment horizontal="center" vertical="center"/>
    </xf>
    <xf numFmtId="0" fontId="21" fillId="4" borderId="13" xfId="2" applyFont="1" applyFill="1" applyBorder="1" applyAlignment="1">
      <alignment horizontal="center" vertical="center"/>
    </xf>
    <xf numFmtId="0" fontId="21" fillId="4" borderId="0" xfId="2" applyFont="1" applyFill="1" applyAlignment="1">
      <alignment horizontal="center" vertical="center"/>
    </xf>
    <xf numFmtId="0" fontId="18" fillId="4" borderId="10" xfId="2" applyFont="1" applyFill="1"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9" borderId="5" xfId="0" applyFill="1" applyBorder="1" applyAlignment="1">
      <alignment horizontal="center" vertical="center"/>
    </xf>
    <xf numFmtId="0" fontId="0" fillId="9" borderId="10" xfId="0" applyFill="1" applyBorder="1" applyAlignment="1">
      <alignment horizontal="center" vertical="center"/>
    </xf>
    <xf numFmtId="0" fontId="0" fillId="9" borderId="4" xfId="0" applyFill="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EA0000"/>
      <color rgb="FFCCFFCC"/>
      <color rgb="FFFFCCFF"/>
      <color rgb="FFFF99FF"/>
      <color rgb="FFFF1919"/>
      <color rgb="FF99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給与所得計算表!$J$5" fmlaRange="プルダウン!$A$9:$A$14" noThreeD="1" sel="1" val="0"/>
</file>

<file path=xl/ctrlProps/ctrlProp2.xml><?xml version="1.0" encoding="utf-8"?>
<formControlPr xmlns="http://schemas.microsoft.com/office/spreadsheetml/2009/9/main" objectType="Drop" dropStyle="combo" dx="16" fmlaLink="給与所得計算表!$J$18" fmlaRange="プルダウン!$A$1:$A$5" noThreeD="1" sel="1" val="0"/>
</file>

<file path=xl/ctrlProps/ctrlProp3.xml><?xml version="1.0" encoding="utf-8"?>
<formControlPr xmlns="http://schemas.microsoft.com/office/spreadsheetml/2009/9/main" objectType="Drop" dropStyle="combo" dx="16" fmlaLink="給与所得計算表!$J$31" fmlaRange="プルダウン!$A$1:$A$5" noThreeD="1" sel="1" val="0"/>
</file>

<file path=xl/ctrlProps/ctrlProp4.xml><?xml version="1.0" encoding="utf-8"?>
<formControlPr xmlns="http://schemas.microsoft.com/office/spreadsheetml/2009/9/main" objectType="Drop" dropStyle="combo" dx="16" fmlaLink="給与所得計算表!$J$44" fmlaRange="プルダウン!$A$1:$A$5" noThreeD="1" sel="1" val="0"/>
</file>

<file path=xl/ctrlProps/ctrlProp5.xml><?xml version="1.0" encoding="utf-8"?>
<formControlPr xmlns="http://schemas.microsoft.com/office/spreadsheetml/2009/9/main" objectType="Drop" dropStyle="combo" dx="16" fmlaLink="給与所得計算表!$J$57" fmlaRange="プルダウン!$A$1:$A$5" noThreeD="1" sel="1" val="0"/>
</file>

<file path=xl/ctrlProps/ctrlProp6.xml><?xml version="1.0" encoding="utf-8"?>
<formControlPr xmlns="http://schemas.microsoft.com/office/spreadsheetml/2009/9/main" objectType="Drop" dropStyle="combo" dx="16" fmlaLink="給与所得計算表!$J$70" fmlaRange="プルダウン!$A$1:$A$5"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3</xdr:col>
          <xdr:colOff>0</xdr:colOff>
          <xdr:row>12</xdr:row>
          <xdr:rowOff>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3</xdr:col>
          <xdr:colOff>0</xdr:colOff>
          <xdr:row>13</xdr:row>
          <xdr:rowOff>0</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3</xdr:col>
          <xdr:colOff>0</xdr:colOff>
          <xdr:row>14</xdr:row>
          <xdr:rowOff>0</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3</xdr:col>
          <xdr:colOff>0</xdr:colOff>
          <xdr:row>15</xdr:row>
          <xdr:rowOff>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3</xdr:col>
          <xdr:colOff>0</xdr:colOff>
          <xdr:row>16</xdr:row>
          <xdr:rowOff>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3</xdr:col>
          <xdr:colOff>0</xdr:colOff>
          <xdr:row>17</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AZ47"/>
  <sheetViews>
    <sheetView tabSelected="1" view="pageBreakPreview" zoomScale="70" zoomScaleNormal="85" zoomScaleSheetLayoutView="70" workbookViewId="0">
      <selection activeCell="H13" sqref="H13"/>
    </sheetView>
  </sheetViews>
  <sheetFormatPr defaultRowHeight="13.2" x14ac:dyDescent="0.2"/>
  <cols>
    <col min="1" max="1" width="11.21875" style="7" customWidth="1"/>
    <col min="2" max="2" width="24" style="7" customWidth="1"/>
    <col min="3" max="3" width="4.77734375" style="7" bestFit="1" customWidth="1"/>
    <col min="4" max="4" width="21" style="7" customWidth="1"/>
    <col min="5" max="5" width="4.77734375" style="7" bestFit="1" customWidth="1"/>
    <col min="6" max="6" width="18.6640625" style="7" customWidth="1"/>
    <col min="7" max="7" width="4.77734375" style="7" bestFit="1" customWidth="1"/>
    <col min="8" max="8" width="19.44140625" style="7" customWidth="1"/>
    <col min="9" max="9" width="4.77734375" style="7" bestFit="1" customWidth="1"/>
    <col min="10" max="10" width="18.33203125" style="7" customWidth="1"/>
    <col min="11" max="11" width="4.77734375" style="7" customWidth="1"/>
    <col min="12" max="12" width="18.21875" style="7" customWidth="1"/>
    <col min="13" max="13" width="5.109375" style="7" customWidth="1"/>
    <col min="14" max="14" width="15.88671875" style="7" customWidth="1"/>
    <col min="15" max="15" width="3.6640625" style="7" customWidth="1"/>
    <col min="16" max="16" width="17.88671875" style="7" customWidth="1"/>
    <col min="17" max="17" width="10.109375" style="7" hidden="1" customWidth="1"/>
    <col min="18" max="18" width="7.33203125" style="7" hidden="1" customWidth="1"/>
    <col min="19" max="19" width="7" style="7" hidden="1" customWidth="1"/>
    <col min="20" max="20" width="13.109375" style="7" hidden="1" customWidth="1"/>
    <col min="21" max="21" width="11.44140625" style="7" hidden="1" customWidth="1"/>
    <col min="22" max="23" width="17.21875" style="7" hidden="1" customWidth="1"/>
    <col min="24" max="24" width="11" style="7" hidden="1" customWidth="1"/>
    <col min="25" max="25" width="12.109375" style="7" hidden="1" customWidth="1"/>
    <col min="26" max="26" width="15.44140625" style="7" hidden="1" customWidth="1"/>
    <col min="27" max="27" width="11.109375" style="7" hidden="1" customWidth="1"/>
    <col min="28" max="29" width="9" style="7" hidden="1" customWidth="1"/>
    <col min="30" max="30" width="13" style="7" hidden="1" customWidth="1"/>
    <col min="31" max="31" width="14.88671875" style="7" hidden="1" customWidth="1"/>
    <col min="32" max="32" width="11" style="7" hidden="1" customWidth="1"/>
    <col min="33" max="35" width="9" style="7" hidden="1" customWidth="1"/>
    <col min="36" max="36" width="11.44140625" style="7" hidden="1" customWidth="1"/>
    <col min="37" max="37" width="14.88671875" style="7" hidden="1" customWidth="1"/>
    <col min="38" max="38" width="9" style="7" hidden="1" customWidth="1"/>
    <col min="39" max="39" width="11" style="7" hidden="1" customWidth="1"/>
    <col min="40" max="40" width="9" style="7" hidden="1" customWidth="1"/>
    <col min="41" max="41" width="13" style="7" hidden="1" customWidth="1"/>
    <col min="42" max="42" width="18.109375" style="7" hidden="1" customWidth="1"/>
    <col min="43" max="45" width="9" style="7" hidden="1" customWidth="1"/>
    <col min="46" max="46" width="6.77734375" style="7" hidden="1" customWidth="1"/>
    <col min="47" max="47" width="17.6640625" style="7" hidden="1" customWidth="1"/>
    <col min="48" max="49" width="9" style="7" hidden="1" customWidth="1"/>
    <col min="50" max="50" width="1.33203125" style="7" hidden="1" customWidth="1"/>
    <col min="51" max="51" width="7.44140625" style="7" hidden="1" customWidth="1"/>
    <col min="52" max="52" width="11" style="7" hidden="1" customWidth="1"/>
    <col min="53" max="53" width="3.77734375" style="7" customWidth="1"/>
    <col min="54" max="54" width="9" style="7" customWidth="1"/>
    <col min="55" max="264" width="9" style="7"/>
    <col min="265" max="265" width="11" style="7" bestFit="1" customWidth="1"/>
    <col min="266" max="266" width="11" style="7" customWidth="1"/>
    <col min="267" max="267" width="11" style="7" bestFit="1" customWidth="1"/>
    <col min="268" max="268" width="11" style="7" customWidth="1"/>
    <col min="269" max="269" width="12.88671875" style="7" bestFit="1" customWidth="1"/>
    <col min="270" max="270" width="9" style="7" bestFit="1" customWidth="1"/>
    <col min="271" max="520" width="9" style="7"/>
    <col min="521" max="521" width="11" style="7" bestFit="1" customWidth="1"/>
    <col min="522" max="522" width="11" style="7" customWidth="1"/>
    <col min="523" max="523" width="11" style="7" bestFit="1" customWidth="1"/>
    <col min="524" max="524" width="11" style="7" customWidth="1"/>
    <col min="525" max="525" width="12.88671875" style="7" bestFit="1" customWidth="1"/>
    <col min="526" max="526" width="9" style="7" bestFit="1" customWidth="1"/>
    <col min="527" max="776" width="9" style="7"/>
    <col min="777" max="777" width="11" style="7" bestFit="1" customWidth="1"/>
    <col min="778" max="778" width="11" style="7" customWidth="1"/>
    <col min="779" max="779" width="11" style="7" bestFit="1" customWidth="1"/>
    <col min="780" max="780" width="11" style="7" customWidth="1"/>
    <col min="781" max="781" width="12.88671875" style="7" bestFit="1" customWidth="1"/>
    <col min="782" max="782" width="9" style="7" bestFit="1" customWidth="1"/>
    <col min="783" max="1032" width="9" style="7"/>
    <col min="1033" max="1033" width="11" style="7" bestFit="1" customWidth="1"/>
    <col min="1034" max="1034" width="11" style="7" customWidth="1"/>
    <col min="1035" max="1035" width="11" style="7" bestFit="1" customWidth="1"/>
    <col min="1036" max="1036" width="11" style="7" customWidth="1"/>
    <col min="1037" max="1037" width="12.88671875" style="7" bestFit="1" customWidth="1"/>
    <col min="1038" max="1038" width="9" style="7" bestFit="1" customWidth="1"/>
    <col min="1039" max="1288" width="9" style="7"/>
    <col min="1289" max="1289" width="11" style="7" bestFit="1" customWidth="1"/>
    <col min="1290" max="1290" width="11" style="7" customWidth="1"/>
    <col min="1291" max="1291" width="11" style="7" bestFit="1" customWidth="1"/>
    <col min="1292" max="1292" width="11" style="7" customWidth="1"/>
    <col min="1293" max="1293" width="12.88671875" style="7" bestFit="1" customWidth="1"/>
    <col min="1294" max="1294" width="9" style="7" bestFit="1" customWidth="1"/>
    <col min="1295" max="1544" width="9" style="7"/>
    <col min="1545" max="1545" width="11" style="7" bestFit="1" customWidth="1"/>
    <col min="1546" max="1546" width="11" style="7" customWidth="1"/>
    <col min="1547" max="1547" width="11" style="7" bestFit="1" customWidth="1"/>
    <col min="1548" max="1548" width="11" style="7" customWidth="1"/>
    <col min="1549" max="1549" width="12.88671875" style="7" bestFit="1" customWidth="1"/>
    <col min="1550" max="1550" width="9" style="7" bestFit="1" customWidth="1"/>
    <col min="1551" max="1800" width="9" style="7"/>
    <col min="1801" max="1801" width="11" style="7" bestFit="1" customWidth="1"/>
    <col min="1802" max="1802" width="11" style="7" customWidth="1"/>
    <col min="1803" max="1803" width="11" style="7" bestFit="1" customWidth="1"/>
    <col min="1804" max="1804" width="11" style="7" customWidth="1"/>
    <col min="1805" max="1805" width="12.88671875" style="7" bestFit="1" customWidth="1"/>
    <col min="1806" max="1806" width="9" style="7" bestFit="1" customWidth="1"/>
    <col min="1807" max="2056" width="9" style="7"/>
    <col min="2057" max="2057" width="11" style="7" bestFit="1" customWidth="1"/>
    <col min="2058" max="2058" width="11" style="7" customWidth="1"/>
    <col min="2059" max="2059" width="11" style="7" bestFit="1" customWidth="1"/>
    <col min="2060" max="2060" width="11" style="7" customWidth="1"/>
    <col min="2061" max="2061" width="12.88671875" style="7" bestFit="1" customWidth="1"/>
    <col min="2062" max="2062" width="9" style="7" bestFit="1" customWidth="1"/>
    <col min="2063" max="2312" width="9" style="7"/>
    <col min="2313" max="2313" width="11" style="7" bestFit="1" customWidth="1"/>
    <col min="2314" max="2314" width="11" style="7" customWidth="1"/>
    <col min="2315" max="2315" width="11" style="7" bestFit="1" customWidth="1"/>
    <col min="2316" max="2316" width="11" style="7" customWidth="1"/>
    <col min="2317" max="2317" width="12.88671875" style="7" bestFit="1" customWidth="1"/>
    <col min="2318" max="2318" width="9" style="7" bestFit="1" customWidth="1"/>
    <col min="2319" max="2568" width="9" style="7"/>
    <col min="2569" max="2569" width="11" style="7" bestFit="1" customWidth="1"/>
    <col min="2570" max="2570" width="11" style="7" customWidth="1"/>
    <col min="2571" max="2571" width="11" style="7" bestFit="1" customWidth="1"/>
    <col min="2572" max="2572" width="11" style="7" customWidth="1"/>
    <col min="2573" max="2573" width="12.88671875" style="7" bestFit="1" customWidth="1"/>
    <col min="2574" max="2574" width="9" style="7" bestFit="1" customWidth="1"/>
    <col min="2575" max="2824" width="9" style="7"/>
    <col min="2825" max="2825" width="11" style="7" bestFit="1" customWidth="1"/>
    <col min="2826" max="2826" width="11" style="7" customWidth="1"/>
    <col min="2827" max="2827" width="11" style="7" bestFit="1" customWidth="1"/>
    <col min="2828" max="2828" width="11" style="7" customWidth="1"/>
    <col min="2829" max="2829" width="12.88671875" style="7" bestFit="1" customWidth="1"/>
    <col min="2830" max="2830" width="9" style="7" bestFit="1" customWidth="1"/>
    <col min="2831" max="3080" width="9" style="7"/>
    <col min="3081" max="3081" width="11" style="7" bestFit="1" customWidth="1"/>
    <col min="3082" max="3082" width="11" style="7" customWidth="1"/>
    <col min="3083" max="3083" width="11" style="7" bestFit="1" customWidth="1"/>
    <col min="3084" max="3084" width="11" style="7" customWidth="1"/>
    <col min="3085" max="3085" width="12.88671875" style="7" bestFit="1" customWidth="1"/>
    <col min="3086" max="3086" width="9" style="7" bestFit="1" customWidth="1"/>
    <col min="3087" max="3336" width="9" style="7"/>
    <col min="3337" max="3337" width="11" style="7" bestFit="1" customWidth="1"/>
    <col min="3338" max="3338" width="11" style="7" customWidth="1"/>
    <col min="3339" max="3339" width="11" style="7" bestFit="1" customWidth="1"/>
    <col min="3340" max="3340" width="11" style="7" customWidth="1"/>
    <col min="3341" max="3341" width="12.88671875" style="7" bestFit="1" customWidth="1"/>
    <col min="3342" max="3342" width="9" style="7" bestFit="1" customWidth="1"/>
    <col min="3343" max="3592" width="9" style="7"/>
    <col min="3593" max="3593" width="11" style="7" bestFit="1" customWidth="1"/>
    <col min="3594" max="3594" width="11" style="7" customWidth="1"/>
    <col min="3595" max="3595" width="11" style="7" bestFit="1" customWidth="1"/>
    <col min="3596" max="3596" width="11" style="7" customWidth="1"/>
    <col min="3597" max="3597" width="12.88671875" style="7" bestFit="1" customWidth="1"/>
    <col min="3598" max="3598" width="9" style="7" bestFit="1" customWidth="1"/>
    <col min="3599" max="3848" width="9" style="7"/>
    <col min="3849" max="3849" width="11" style="7" bestFit="1" customWidth="1"/>
    <col min="3850" max="3850" width="11" style="7" customWidth="1"/>
    <col min="3851" max="3851" width="11" style="7" bestFit="1" customWidth="1"/>
    <col min="3852" max="3852" width="11" style="7" customWidth="1"/>
    <col min="3853" max="3853" width="12.88671875" style="7" bestFit="1" customWidth="1"/>
    <col min="3854" max="3854" width="9" style="7" bestFit="1" customWidth="1"/>
    <col min="3855" max="4104" width="9" style="7"/>
    <col min="4105" max="4105" width="11" style="7" bestFit="1" customWidth="1"/>
    <col min="4106" max="4106" width="11" style="7" customWidth="1"/>
    <col min="4107" max="4107" width="11" style="7" bestFit="1" customWidth="1"/>
    <col min="4108" max="4108" width="11" style="7" customWidth="1"/>
    <col min="4109" max="4109" width="12.88671875" style="7" bestFit="1" customWidth="1"/>
    <col min="4110" max="4110" width="9" style="7" bestFit="1" customWidth="1"/>
    <col min="4111" max="4360" width="9" style="7"/>
    <col min="4361" max="4361" width="11" style="7" bestFit="1" customWidth="1"/>
    <col min="4362" max="4362" width="11" style="7" customWidth="1"/>
    <col min="4363" max="4363" width="11" style="7" bestFit="1" customWidth="1"/>
    <col min="4364" max="4364" width="11" style="7" customWidth="1"/>
    <col min="4365" max="4365" width="12.88671875" style="7" bestFit="1" customWidth="1"/>
    <col min="4366" max="4366" width="9" style="7" bestFit="1" customWidth="1"/>
    <col min="4367" max="4616" width="9" style="7"/>
    <col min="4617" max="4617" width="11" style="7" bestFit="1" customWidth="1"/>
    <col min="4618" max="4618" width="11" style="7" customWidth="1"/>
    <col min="4619" max="4619" width="11" style="7" bestFit="1" customWidth="1"/>
    <col min="4620" max="4620" width="11" style="7" customWidth="1"/>
    <col min="4621" max="4621" width="12.88671875" style="7" bestFit="1" customWidth="1"/>
    <col min="4622" max="4622" width="9" style="7" bestFit="1" customWidth="1"/>
    <col min="4623" max="4872" width="9" style="7"/>
    <col min="4873" max="4873" width="11" style="7" bestFit="1" customWidth="1"/>
    <col min="4874" max="4874" width="11" style="7" customWidth="1"/>
    <col min="4875" max="4875" width="11" style="7" bestFit="1" customWidth="1"/>
    <col min="4876" max="4876" width="11" style="7" customWidth="1"/>
    <col min="4877" max="4877" width="12.88671875" style="7" bestFit="1" customWidth="1"/>
    <col min="4878" max="4878" width="9" style="7" bestFit="1" customWidth="1"/>
    <col min="4879" max="5128" width="9" style="7"/>
    <col min="5129" max="5129" width="11" style="7" bestFit="1" customWidth="1"/>
    <col min="5130" max="5130" width="11" style="7" customWidth="1"/>
    <col min="5131" max="5131" width="11" style="7" bestFit="1" customWidth="1"/>
    <col min="5132" max="5132" width="11" style="7" customWidth="1"/>
    <col min="5133" max="5133" width="12.88671875" style="7" bestFit="1" customWidth="1"/>
    <col min="5134" max="5134" width="9" style="7" bestFit="1" customWidth="1"/>
    <col min="5135" max="5384" width="9" style="7"/>
    <col min="5385" max="5385" width="11" style="7" bestFit="1" customWidth="1"/>
    <col min="5386" max="5386" width="11" style="7" customWidth="1"/>
    <col min="5387" max="5387" width="11" style="7" bestFit="1" customWidth="1"/>
    <col min="5388" max="5388" width="11" style="7" customWidth="1"/>
    <col min="5389" max="5389" width="12.88671875" style="7" bestFit="1" customWidth="1"/>
    <col min="5390" max="5390" width="9" style="7" bestFit="1" customWidth="1"/>
    <col min="5391" max="5640" width="9" style="7"/>
    <col min="5641" max="5641" width="11" style="7" bestFit="1" customWidth="1"/>
    <col min="5642" max="5642" width="11" style="7" customWidth="1"/>
    <col min="5643" max="5643" width="11" style="7" bestFit="1" customWidth="1"/>
    <col min="5644" max="5644" width="11" style="7" customWidth="1"/>
    <col min="5645" max="5645" width="12.88671875" style="7" bestFit="1" customWidth="1"/>
    <col min="5646" max="5646" width="9" style="7" bestFit="1" customWidth="1"/>
    <col min="5647" max="5896" width="9" style="7"/>
    <col min="5897" max="5897" width="11" style="7" bestFit="1" customWidth="1"/>
    <col min="5898" max="5898" width="11" style="7" customWidth="1"/>
    <col min="5899" max="5899" width="11" style="7" bestFit="1" customWidth="1"/>
    <col min="5900" max="5900" width="11" style="7" customWidth="1"/>
    <col min="5901" max="5901" width="12.88671875" style="7" bestFit="1" customWidth="1"/>
    <col min="5902" max="5902" width="9" style="7" bestFit="1" customWidth="1"/>
    <col min="5903" max="6152" width="9" style="7"/>
    <col min="6153" max="6153" width="11" style="7" bestFit="1" customWidth="1"/>
    <col min="6154" max="6154" width="11" style="7" customWidth="1"/>
    <col min="6155" max="6155" width="11" style="7" bestFit="1" customWidth="1"/>
    <col min="6156" max="6156" width="11" style="7" customWidth="1"/>
    <col min="6157" max="6157" width="12.88671875" style="7" bestFit="1" customWidth="1"/>
    <col min="6158" max="6158" width="9" style="7" bestFit="1" customWidth="1"/>
    <col min="6159" max="6408" width="9" style="7"/>
    <col min="6409" max="6409" width="11" style="7" bestFit="1" customWidth="1"/>
    <col min="6410" max="6410" width="11" style="7" customWidth="1"/>
    <col min="6411" max="6411" width="11" style="7" bestFit="1" customWidth="1"/>
    <col min="6412" max="6412" width="11" style="7" customWidth="1"/>
    <col min="6413" max="6413" width="12.88671875" style="7" bestFit="1" customWidth="1"/>
    <col min="6414" max="6414" width="9" style="7" bestFit="1" customWidth="1"/>
    <col min="6415" max="6664" width="9" style="7"/>
    <col min="6665" max="6665" width="11" style="7" bestFit="1" customWidth="1"/>
    <col min="6666" max="6666" width="11" style="7" customWidth="1"/>
    <col min="6667" max="6667" width="11" style="7" bestFit="1" customWidth="1"/>
    <col min="6668" max="6668" width="11" style="7" customWidth="1"/>
    <col min="6669" max="6669" width="12.88671875" style="7" bestFit="1" customWidth="1"/>
    <col min="6670" max="6670" width="9" style="7" bestFit="1" customWidth="1"/>
    <col min="6671" max="6920" width="9" style="7"/>
    <col min="6921" max="6921" width="11" style="7" bestFit="1" customWidth="1"/>
    <col min="6922" max="6922" width="11" style="7" customWidth="1"/>
    <col min="6923" max="6923" width="11" style="7" bestFit="1" customWidth="1"/>
    <col min="6924" max="6924" width="11" style="7" customWidth="1"/>
    <col min="6925" max="6925" width="12.88671875" style="7" bestFit="1" customWidth="1"/>
    <col min="6926" max="6926" width="9" style="7" bestFit="1" customWidth="1"/>
    <col min="6927" max="7176" width="9" style="7"/>
    <col min="7177" max="7177" width="11" style="7" bestFit="1" customWidth="1"/>
    <col min="7178" max="7178" width="11" style="7" customWidth="1"/>
    <col min="7179" max="7179" width="11" style="7" bestFit="1" customWidth="1"/>
    <col min="7180" max="7180" width="11" style="7" customWidth="1"/>
    <col min="7181" max="7181" width="12.88671875" style="7" bestFit="1" customWidth="1"/>
    <col min="7182" max="7182" width="9" style="7" bestFit="1" customWidth="1"/>
    <col min="7183" max="7432" width="9" style="7"/>
    <col min="7433" max="7433" width="11" style="7" bestFit="1" customWidth="1"/>
    <col min="7434" max="7434" width="11" style="7" customWidth="1"/>
    <col min="7435" max="7435" width="11" style="7" bestFit="1" customWidth="1"/>
    <col min="7436" max="7436" width="11" style="7" customWidth="1"/>
    <col min="7437" max="7437" width="12.88671875" style="7" bestFit="1" customWidth="1"/>
    <col min="7438" max="7438" width="9" style="7" bestFit="1" customWidth="1"/>
    <col min="7439" max="7688" width="9" style="7"/>
    <col min="7689" max="7689" width="11" style="7" bestFit="1" customWidth="1"/>
    <col min="7690" max="7690" width="11" style="7" customWidth="1"/>
    <col min="7691" max="7691" width="11" style="7" bestFit="1" customWidth="1"/>
    <col min="7692" max="7692" width="11" style="7" customWidth="1"/>
    <col min="7693" max="7693" width="12.88671875" style="7" bestFit="1" customWidth="1"/>
    <col min="7694" max="7694" width="9" style="7" bestFit="1" customWidth="1"/>
    <col min="7695" max="7944" width="9" style="7"/>
    <col min="7945" max="7945" width="11" style="7" bestFit="1" customWidth="1"/>
    <col min="7946" max="7946" width="11" style="7" customWidth="1"/>
    <col min="7947" max="7947" width="11" style="7" bestFit="1" customWidth="1"/>
    <col min="7948" max="7948" width="11" style="7" customWidth="1"/>
    <col min="7949" max="7949" width="12.88671875" style="7" bestFit="1" customWidth="1"/>
    <col min="7950" max="7950" width="9" style="7" bestFit="1" customWidth="1"/>
    <col min="7951" max="8200" width="9" style="7"/>
    <col min="8201" max="8201" width="11" style="7" bestFit="1" customWidth="1"/>
    <col min="8202" max="8202" width="11" style="7" customWidth="1"/>
    <col min="8203" max="8203" width="11" style="7" bestFit="1" customWidth="1"/>
    <col min="8204" max="8204" width="11" style="7" customWidth="1"/>
    <col min="8205" max="8205" width="12.88671875" style="7" bestFit="1" customWidth="1"/>
    <col min="8206" max="8206" width="9" style="7" bestFit="1" customWidth="1"/>
    <col min="8207" max="8456" width="9" style="7"/>
    <col min="8457" max="8457" width="11" style="7" bestFit="1" customWidth="1"/>
    <col min="8458" max="8458" width="11" style="7" customWidth="1"/>
    <col min="8459" max="8459" width="11" style="7" bestFit="1" customWidth="1"/>
    <col min="8460" max="8460" width="11" style="7" customWidth="1"/>
    <col min="8461" max="8461" width="12.88671875" style="7" bestFit="1" customWidth="1"/>
    <col min="8462" max="8462" width="9" style="7" bestFit="1" customWidth="1"/>
    <col min="8463" max="8712" width="9" style="7"/>
    <col min="8713" max="8713" width="11" style="7" bestFit="1" customWidth="1"/>
    <col min="8714" max="8714" width="11" style="7" customWidth="1"/>
    <col min="8715" max="8715" width="11" style="7" bestFit="1" customWidth="1"/>
    <col min="8716" max="8716" width="11" style="7" customWidth="1"/>
    <col min="8717" max="8717" width="12.88671875" style="7" bestFit="1" customWidth="1"/>
    <col min="8718" max="8718" width="9" style="7" bestFit="1" customWidth="1"/>
    <col min="8719" max="8968" width="9" style="7"/>
    <col min="8969" max="8969" width="11" style="7" bestFit="1" customWidth="1"/>
    <col min="8970" max="8970" width="11" style="7" customWidth="1"/>
    <col min="8971" max="8971" width="11" style="7" bestFit="1" customWidth="1"/>
    <col min="8972" max="8972" width="11" style="7" customWidth="1"/>
    <col min="8973" max="8973" width="12.88671875" style="7" bestFit="1" customWidth="1"/>
    <col min="8974" max="8974" width="9" style="7" bestFit="1" customWidth="1"/>
    <col min="8975" max="9224" width="9" style="7"/>
    <col min="9225" max="9225" width="11" style="7" bestFit="1" customWidth="1"/>
    <col min="9226" max="9226" width="11" style="7" customWidth="1"/>
    <col min="9227" max="9227" width="11" style="7" bestFit="1" customWidth="1"/>
    <col min="9228" max="9228" width="11" style="7" customWidth="1"/>
    <col min="9229" max="9229" width="12.88671875" style="7" bestFit="1" customWidth="1"/>
    <col min="9230" max="9230" width="9" style="7" bestFit="1" customWidth="1"/>
    <col min="9231" max="9480" width="9" style="7"/>
    <col min="9481" max="9481" width="11" style="7" bestFit="1" customWidth="1"/>
    <col min="9482" max="9482" width="11" style="7" customWidth="1"/>
    <col min="9483" max="9483" width="11" style="7" bestFit="1" customWidth="1"/>
    <col min="9484" max="9484" width="11" style="7" customWidth="1"/>
    <col min="9485" max="9485" width="12.88671875" style="7" bestFit="1" customWidth="1"/>
    <col min="9486" max="9486" width="9" style="7" bestFit="1" customWidth="1"/>
    <col min="9487" max="9736" width="9" style="7"/>
    <col min="9737" max="9737" width="11" style="7" bestFit="1" customWidth="1"/>
    <col min="9738" max="9738" width="11" style="7" customWidth="1"/>
    <col min="9739" max="9739" width="11" style="7" bestFit="1" customWidth="1"/>
    <col min="9740" max="9740" width="11" style="7" customWidth="1"/>
    <col min="9741" max="9741" width="12.88671875" style="7" bestFit="1" customWidth="1"/>
    <col min="9742" max="9742" width="9" style="7" bestFit="1" customWidth="1"/>
    <col min="9743" max="9992" width="9" style="7"/>
    <col min="9993" max="9993" width="11" style="7" bestFit="1" customWidth="1"/>
    <col min="9994" max="9994" width="11" style="7" customWidth="1"/>
    <col min="9995" max="9995" width="11" style="7" bestFit="1" customWidth="1"/>
    <col min="9996" max="9996" width="11" style="7" customWidth="1"/>
    <col min="9997" max="9997" width="12.88671875" style="7" bestFit="1" customWidth="1"/>
    <col min="9998" max="9998" width="9" style="7" bestFit="1" customWidth="1"/>
    <col min="9999" max="10248" width="9" style="7"/>
    <col min="10249" max="10249" width="11" style="7" bestFit="1" customWidth="1"/>
    <col min="10250" max="10250" width="11" style="7" customWidth="1"/>
    <col min="10251" max="10251" width="11" style="7" bestFit="1" customWidth="1"/>
    <col min="10252" max="10252" width="11" style="7" customWidth="1"/>
    <col min="10253" max="10253" width="12.88671875" style="7" bestFit="1" customWidth="1"/>
    <col min="10254" max="10254" width="9" style="7" bestFit="1" customWidth="1"/>
    <col min="10255" max="10504" width="9" style="7"/>
    <col min="10505" max="10505" width="11" style="7" bestFit="1" customWidth="1"/>
    <col min="10506" max="10506" width="11" style="7" customWidth="1"/>
    <col min="10507" max="10507" width="11" style="7" bestFit="1" customWidth="1"/>
    <col min="10508" max="10508" width="11" style="7" customWidth="1"/>
    <col min="10509" max="10509" width="12.88671875" style="7" bestFit="1" customWidth="1"/>
    <col min="10510" max="10510" width="9" style="7" bestFit="1" customWidth="1"/>
    <col min="10511" max="10760" width="9" style="7"/>
    <col min="10761" max="10761" width="11" style="7" bestFit="1" customWidth="1"/>
    <col min="10762" max="10762" width="11" style="7" customWidth="1"/>
    <col min="10763" max="10763" width="11" style="7" bestFit="1" customWidth="1"/>
    <col min="10764" max="10764" width="11" style="7" customWidth="1"/>
    <col min="10765" max="10765" width="12.88671875" style="7" bestFit="1" customWidth="1"/>
    <col min="10766" max="10766" width="9" style="7" bestFit="1" customWidth="1"/>
    <col min="10767" max="11016" width="9" style="7"/>
    <col min="11017" max="11017" width="11" style="7" bestFit="1" customWidth="1"/>
    <col min="11018" max="11018" width="11" style="7" customWidth="1"/>
    <col min="11019" max="11019" width="11" style="7" bestFit="1" customWidth="1"/>
    <col min="11020" max="11020" width="11" style="7" customWidth="1"/>
    <col min="11021" max="11021" width="12.88671875" style="7" bestFit="1" customWidth="1"/>
    <col min="11022" max="11022" width="9" style="7" bestFit="1" customWidth="1"/>
    <col min="11023" max="11272" width="9" style="7"/>
    <col min="11273" max="11273" width="11" style="7" bestFit="1" customWidth="1"/>
    <col min="11274" max="11274" width="11" style="7" customWidth="1"/>
    <col min="11275" max="11275" width="11" style="7" bestFit="1" customWidth="1"/>
    <col min="11276" max="11276" width="11" style="7" customWidth="1"/>
    <col min="11277" max="11277" width="12.88671875" style="7" bestFit="1" customWidth="1"/>
    <col min="11278" max="11278" width="9" style="7" bestFit="1" customWidth="1"/>
    <col min="11279" max="11528" width="9" style="7"/>
    <col min="11529" max="11529" width="11" style="7" bestFit="1" customWidth="1"/>
    <col min="11530" max="11530" width="11" style="7" customWidth="1"/>
    <col min="11531" max="11531" width="11" style="7" bestFit="1" customWidth="1"/>
    <col min="11532" max="11532" width="11" style="7" customWidth="1"/>
    <col min="11533" max="11533" width="12.88671875" style="7" bestFit="1" customWidth="1"/>
    <col min="11534" max="11534" width="9" style="7" bestFit="1" customWidth="1"/>
    <col min="11535" max="11784" width="9" style="7"/>
    <col min="11785" max="11785" width="11" style="7" bestFit="1" customWidth="1"/>
    <col min="11786" max="11786" width="11" style="7" customWidth="1"/>
    <col min="11787" max="11787" width="11" style="7" bestFit="1" customWidth="1"/>
    <col min="11788" max="11788" width="11" style="7" customWidth="1"/>
    <col min="11789" max="11789" width="12.88671875" style="7" bestFit="1" customWidth="1"/>
    <col min="11790" max="11790" width="9" style="7" bestFit="1" customWidth="1"/>
    <col min="11791" max="12040" width="9" style="7"/>
    <col min="12041" max="12041" width="11" style="7" bestFit="1" customWidth="1"/>
    <col min="12042" max="12042" width="11" style="7" customWidth="1"/>
    <col min="12043" max="12043" width="11" style="7" bestFit="1" customWidth="1"/>
    <col min="12044" max="12044" width="11" style="7" customWidth="1"/>
    <col min="12045" max="12045" width="12.88671875" style="7" bestFit="1" customWidth="1"/>
    <col min="12046" max="12046" width="9" style="7" bestFit="1" customWidth="1"/>
    <col min="12047" max="12296" width="9" style="7"/>
    <col min="12297" max="12297" width="11" style="7" bestFit="1" customWidth="1"/>
    <col min="12298" max="12298" width="11" style="7" customWidth="1"/>
    <col min="12299" max="12299" width="11" style="7" bestFit="1" customWidth="1"/>
    <col min="12300" max="12300" width="11" style="7" customWidth="1"/>
    <col min="12301" max="12301" width="12.88671875" style="7" bestFit="1" customWidth="1"/>
    <col min="12302" max="12302" width="9" style="7" bestFit="1" customWidth="1"/>
    <col min="12303" max="12552" width="9" style="7"/>
    <col min="12553" max="12553" width="11" style="7" bestFit="1" customWidth="1"/>
    <col min="12554" max="12554" width="11" style="7" customWidth="1"/>
    <col min="12555" max="12555" width="11" style="7" bestFit="1" customWidth="1"/>
    <col min="12556" max="12556" width="11" style="7" customWidth="1"/>
    <col min="12557" max="12557" width="12.88671875" style="7" bestFit="1" customWidth="1"/>
    <col min="12558" max="12558" width="9" style="7" bestFit="1" customWidth="1"/>
    <col min="12559" max="12808" width="9" style="7"/>
    <col min="12809" max="12809" width="11" style="7" bestFit="1" customWidth="1"/>
    <col min="12810" max="12810" width="11" style="7" customWidth="1"/>
    <col min="12811" max="12811" width="11" style="7" bestFit="1" customWidth="1"/>
    <col min="12812" max="12812" width="11" style="7" customWidth="1"/>
    <col min="12813" max="12813" width="12.88671875" style="7" bestFit="1" customWidth="1"/>
    <col min="12814" max="12814" width="9" style="7" bestFit="1" customWidth="1"/>
    <col min="12815" max="13064" width="9" style="7"/>
    <col min="13065" max="13065" width="11" style="7" bestFit="1" customWidth="1"/>
    <col min="13066" max="13066" width="11" style="7" customWidth="1"/>
    <col min="13067" max="13067" width="11" style="7" bestFit="1" customWidth="1"/>
    <col min="13068" max="13068" width="11" style="7" customWidth="1"/>
    <col min="13069" max="13069" width="12.88671875" style="7" bestFit="1" customWidth="1"/>
    <col min="13070" max="13070" width="9" style="7" bestFit="1" customWidth="1"/>
    <col min="13071" max="13320" width="9" style="7"/>
    <col min="13321" max="13321" width="11" style="7" bestFit="1" customWidth="1"/>
    <col min="13322" max="13322" width="11" style="7" customWidth="1"/>
    <col min="13323" max="13323" width="11" style="7" bestFit="1" customWidth="1"/>
    <col min="13324" max="13324" width="11" style="7" customWidth="1"/>
    <col min="13325" max="13325" width="12.88671875" style="7" bestFit="1" customWidth="1"/>
    <col min="13326" max="13326" width="9" style="7" bestFit="1" customWidth="1"/>
    <col min="13327" max="13576" width="9" style="7"/>
    <col min="13577" max="13577" width="11" style="7" bestFit="1" customWidth="1"/>
    <col min="13578" max="13578" width="11" style="7" customWidth="1"/>
    <col min="13579" max="13579" width="11" style="7" bestFit="1" customWidth="1"/>
    <col min="13580" max="13580" width="11" style="7" customWidth="1"/>
    <col min="13581" max="13581" width="12.88671875" style="7" bestFit="1" customWidth="1"/>
    <col min="13582" max="13582" width="9" style="7" bestFit="1" customWidth="1"/>
    <col min="13583" max="13832" width="9" style="7"/>
    <col min="13833" max="13833" width="11" style="7" bestFit="1" customWidth="1"/>
    <col min="13834" max="13834" width="11" style="7" customWidth="1"/>
    <col min="13835" max="13835" width="11" style="7" bestFit="1" customWidth="1"/>
    <col min="13836" max="13836" width="11" style="7" customWidth="1"/>
    <col min="13837" max="13837" width="12.88671875" style="7" bestFit="1" customWidth="1"/>
    <col min="13838" max="13838" width="9" style="7" bestFit="1" customWidth="1"/>
    <col min="13839" max="14088" width="9" style="7"/>
    <col min="14089" max="14089" width="11" style="7" bestFit="1" customWidth="1"/>
    <col min="14090" max="14090" width="11" style="7" customWidth="1"/>
    <col min="14091" max="14091" width="11" style="7" bestFit="1" customWidth="1"/>
    <col min="14092" max="14092" width="11" style="7" customWidth="1"/>
    <col min="14093" max="14093" width="12.88671875" style="7" bestFit="1" customWidth="1"/>
    <col min="14094" max="14094" width="9" style="7" bestFit="1" customWidth="1"/>
    <col min="14095" max="14344" width="9" style="7"/>
    <col min="14345" max="14345" width="11" style="7" bestFit="1" customWidth="1"/>
    <col min="14346" max="14346" width="11" style="7" customWidth="1"/>
    <col min="14347" max="14347" width="11" style="7" bestFit="1" customWidth="1"/>
    <col min="14348" max="14348" width="11" style="7" customWidth="1"/>
    <col min="14349" max="14349" width="12.88671875" style="7" bestFit="1" customWidth="1"/>
    <col min="14350" max="14350" width="9" style="7" bestFit="1" customWidth="1"/>
    <col min="14351" max="14600" width="9" style="7"/>
    <col min="14601" max="14601" width="11" style="7" bestFit="1" customWidth="1"/>
    <col min="14602" max="14602" width="11" style="7" customWidth="1"/>
    <col min="14603" max="14603" width="11" style="7" bestFit="1" customWidth="1"/>
    <col min="14604" max="14604" width="11" style="7" customWidth="1"/>
    <col min="14605" max="14605" width="12.88671875" style="7" bestFit="1" customWidth="1"/>
    <col min="14606" max="14606" width="9" style="7" bestFit="1" customWidth="1"/>
    <col min="14607" max="14856" width="9" style="7"/>
    <col min="14857" max="14857" width="11" style="7" bestFit="1" customWidth="1"/>
    <col min="14858" max="14858" width="11" style="7" customWidth="1"/>
    <col min="14859" max="14859" width="11" style="7" bestFit="1" customWidth="1"/>
    <col min="14860" max="14860" width="11" style="7" customWidth="1"/>
    <col min="14861" max="14861" width="12.88671875" style="7" bestFit="1" customWidth="1"/>
    <col min="14862" max="14862" width="9" style="7" bestFit="1" customWidth="1"/>
    <col min="14863" max="15112" width="9" style="7"/>
    <col min="15113" max="15113" width="11" style="7" bestFit="1" customWidth="1"/>
    <col min="15114" max="15114" width="11" style="7" customWidth="1"/>
    <col min="15115" max="15115" width="11" style="7" bestFit="1" customWidth="1"/>
    <col min="15116" max="15116" width="11" style="7" customWidth="1"/>
    <col min="15117" max="15117" width="12.88671875" style="7" bestFit="1" customWidth="1"/>
    <col min="15118" max="15118" width="9" style="7" bestFit="1" customWidth="1"/>
    <col min="15119" max="15368" width="9" style="7"/>
    <col min="15369" max="15369" width="11" style="7" bestFit="1" customWidth="1"/>
    <col min="15370" max="15370" width="11" style="7" customWidth="1"/>
    <col min="15371" max="15371" width="11" style="7" bestFit="1" customWidth="1"/>
    <col min="15372" max="15372" width="11" style="7" customWidth="1"/>
    <col min="15373" max="15373" width="12.88671875" style="7" bestFit="1" customWidth="1"/>
    <col min="15374" max="15374" width="9" style="7" bestFit="1" customWidth="1"/>
    <col min="15375" max="15624" width="9" style="7"/>
    <col min="15625" max="15625" width="11" style="7" bestFit="1" customWidth="1"/>
    <col min="15626" max="15626" width="11" style="7" customWidth="1"/>
    <col min="15627" max="15627" width="11" style="7" bestFit="1" customWidth="1"/>
    <col min="15628" max="15628" width="11" style="7" customWidth="1"/>
    <col min="15629" max="15629" width="12.88671875" style="7" bestFit="1" customWidth="1"/>
    <col min="15630" max="15630" width="9" style="7" bestFit="1" customWidth="1"/>
    <col min="15631" max="15880" width="9" style="7"/>
    <col min="15881" max="15881" width="11" style="7" bestFit="1" customWidth="1"/>
    <col min="15882" max="15882" width="11" style="7" customWidth="1"/>
    <col min="15883" max="15883" width="11" style="7" bestFit="1" customWidth="1"/>
    <col min="15884" max="15884" width="11" style="7" customWidth="1"/>
    <col min="15885" max="15885" width="12.88671875" style="7" bestFit="1" customWidth="1"/>
    <col min="15886" max="15886" width="9" style="7" bestFit="1" customWidth="1"/>
    <col min="15887" max="16136" width="9" style="7"/>
    <col min="16137" max="16137" width="11" style="7" bestFit="1" customWidth="1"/>
    <col min="16138" max="16138" width="11" style="7" customWidth="1"/>
    <col min="16139" max="16139" width="11" style="7" bestFit="1" customWidth="1"/>
    <col min="16140" max="16140" width="11" style="7" customWidth="1"/>
    <col min="16141" max="16141" width="12.88671875" style="7" bestFit="1" customWidth="1"/>
    <col min="16142" max="16142" width="9" style="7" bestFit="1" customWidth="1"/>
    <col min="16143" max="16384" width="9" style="7"/>
  </cols>
  <sheetData>
    <row r="1" spans="1:51" ht="18.75" customHeight="1" x14ac:dyDescent="0.2">
      <c r="L1" s="102"/>
      <c r="M1" s="102"/>
      <c r="N1" s="53" t="str">
        <f ca="1">TEXT(TODAY(),"yyyy/m/d")&amp;"受付"</f>
        <v>2025/3/19受付</v>
      </c>
    </row>
    <row r="2" spans="1:51" ht="35.25" customHeight="1" x14ac:dyDescent="0.2">
      <c r="A2" s="101" t="s">
        <v>160</v>
      </c>
      <c r="B2" s="101"/>
      <c r="C2" s="101"/>
      <c r="D2" s="101"/>
      <c r="E2" s="101"/>
      <c r="F2" s="101"/>
      <c r="G2" s="101"/>
      <c r="H2" s="101"/>
      <c r="I2" s="101"/>
      <c r="J2" s="101"/>
      <c r="K2" s="101"/>
      <c r="L2" s="101"/>
      <c r="M2" s="101"/>
      <c r="N2" s="101"/>
      <c r="O2" s="101"/>
      <c r="P2" s="101"/>
      <c r="T2" s="41" t="s">
        <v>107</v>
      </c>
      <c r="U2" s="42"/>
      <c r="V2" s="42"/>
      <c r="W2" s="42"/>
      <c r="X2" s="42"/>
    </row>
    <row r="3" spans="1:51" ht="22.5" customHeight="1" x14ac:dyDescent="0.2">
      <c r="A3" s="26" t="s">
        <v>87</v>
      </c>
      <c r="T3" s="42" t="s">
        <v>108</v>
      </c>
    </row>
    <row r="4" spans="1:51" ht="22.5" customHeight="1" x14ac:dyDescent="0.2">
      <c r="A4" s="27" t="s">
        <v>158</v>
      </c>
      <c r="T4" s="39"/>
      <c r="U4" s="40" t="s">
        <v>92</v>
      </c>
      <c r="V4" s="40" t="s">
        <v>91</v>
      </c>
      <c r="W4" s="40" t="s">
        <v>93</v>
      </c>
      <c r="Y4" s="39"/>
      <c r="Z4" s="40" t="s">
        <v>97</v>
      </c>
      <c r="AA4" s="40" t="s">
        <v>91</v>
      </c>
      <c r="AB4" s="40" t="s">
        <v>93</v>
      </c>
      <c r="AD4" s="39"/>
      <c r="AE4" s="40" t="s">
        <v>98</v>
      </c>
      <c r="AF4" s="40" t="s">
        <v>91</v>
      </c>
      <c r="AG4" s="40" t="s">
        <v>93</v>
      </c>
      <c r="AJ4" s="39"/>
      <c r="AK4" s="40" t="s">
        <v>99</v>
      </c>
      <c r="AL4" s="40" t="s">
        <v>91</v>
      </c>
      <c r="AM4" s="40" t="s">
        <v>93</v>
      </c>
      <c r="AO4" s="39"/>
      <c r="AP4" s="40" t="s">
        <v>100</v>
      </c>
      <c r="AQ4" s="40" t="s">
        <v>91</v>
      </c>
      <c r="AR4" s="40" t="s">
        <v>93</v>
      </c>
      <c r="AT4" s="39"/>
      <c r="AU4" s="40" t="s">
        <v>101</v>
      </c>
      <c r="AV4" s="40" t="s">
        <v>91</v>
      </c>
      <c r="AW4" s="40" t="s">
        <v>93</v>
      </c>
      <c r="AY4" s="40" t="s">
        <v>102</v>
      </c>
    </row>
    <row r="5" spans="1:51" ht="22.5" customHeight="1" x14ac:dyDescent="0.2">
      <c r="A5" s="27" t="s">
        <v>90</v>
      </c>
      <c r="T5" s="40" t="s">
        <v>94</v>
      </c>
      <c r="U5" s="20">
        <f>V12</f>
        <v>0</v>
      </c>
      <c r="V5" s="31">
        <f>$U$23</f>
        <v>9.2999999999999999E-2</v>
      </c>
      <c r="W5" s="20">
        <f>INT(U5*V5)</f>
        <v>0</v>
      </c>
      <c r="Y5" s="40" t="s">
        <v>94</v>
      </c>
      <c r="Z5" s="20">
        <f>V13</f>
        <v>0</v>
      </c>
      <c r="AA5" s="31">
        <f>$U$23</f>
        <v>9.2999999999999999E-2</v>
      </c>
      <c r="AB5" s="20">
        <f>INT(Z5*AA5)</f>
        <v>0</v>
      </c>
      <c r="AD5" s="40" t="s">
        <v>94</v>
      </c>
      <c r="AE5" s="20">
        <f>V14</f>
        <v>0</v>
      </c>
      <c r="AF5" s="31">
        <f>$U$23</f>
        <v>9.2999999999999999E-2</v>
      </c>
      <c r="AG5" s="20">
        <f>INT(AE5*AF5)</f>
        <v>0</v>
      </c>
      <c r="AJ5" s="40" t="s">
        <v>94</v>
      </c>
      <c r="AK5" s="20">
        <f>V15</f>
        <v>0</v>
      </c>
      <c r="AL5" s="31">
        <f>$U$23</f>
        <v>9.2999999999999999E-2</v>
      </c>
      <c r="AM5" s="20">
        <f>INT(AK5*AL5)</f>
        <v>0</v>
      </c>
      <c r="AO5" s="40" t="s">
        <v>94</v>
      </c>
      <c r="AP5" s="20">
        <f>V16</f>
        <v>0</v>
      </c>
      <c r="AQ5" s="31">
        <f>$U$23</f>
        <v>9.2999999999999999E-2</v>
      </c>
      <c r="AR5" s="20">
        <f>INT(AP5*AQ5)</f>
        <v>0</v>
      </c>
      <c r="AT5" s="40" t="s">
        <v>94</v>
      </c>
      <c r="AU5" s="20">
        <f>V17</f>
        <v>0</v>
      </c>
      <c r="AV5" s="31">
        <f>$U$23</f>
        <v>9.2999999999999999E-2</v>
      </c>
      <c r="AW5" s="20">
        <f>INT(AU5*AV5)</f>
        <v>0</v>
      </c>
      <c r="AY5" s="20">
        <f>W5+AB5+AG5+AM5+AR5+AW5</f>
        <v>0</v>
      </c>
    </row>
    <row r="6" spans="1:51" ht="22.5" customHeight="1" x14ac:dyDescent="0.2">
      <c r="A6" s="27" t="s">
        <v>88</v>
      </c>
      <c r="T6" s="40" t="s">
        <v>95</v>
      </c>
      <c r="U6" s="20">
        <f>V12</f>
        <v>0</v>
      </c>
      <c r="V6" s="31">
        <f>$U$24</f>
        <v>3.0200000000000001E-2</v>
      </c>
      <c r="W6" s="20">
        <f t="shared" ref="W6:W7" si="0">INT(U6*V6)</f>
        <v>0</v>
      </c>
      <c r="Y6" s="40" t="s">
        <v>95</v>
      </c>
      <c r="Z6" s="20">
        <f>V13</f>
        <v>0</v>
      </c>
      <c r="AA6" s="31">
        <f>$U$24</f>
        <v>3.0200000000000001E-2</v>
      </c>
      <c r="AB6" s="20">
        <f t="shared" ref="AB6:AB7" si="1">INT(Z6*AA6)</f>
        <v>0</v>
      </c>
      <c r="AD6" s="40" t="s">
        <v>95</v>
      </c>
      <c r="AE6" s="20">
        <f>V14</f>
        <v>0</v>
      </c>
      <c r="AF6" s="31">
        <f>$U$24</f>
        <v>3.0200000000000001E-2</v>
      </c>
      <c r="AG6" s="20">
        <f t="shared" ref="AG6:AG7" si="2">INT(AE6*AF6)</f>
        <v>0</v>
      </c>
      <c r="AJ6" s="40" t="s">
        <v>95</v>
      </c>
      <c r="AK6" s="20">
        <f>V15</f>
        <v>0</v>
      </c>
      <c r="AL6" s="31">
        <f>$U$24</f>
        <v>3.0200000000000001E-2</v>
      </c>
      <c r="AM6" s="20">
        <f t="shared" ref="AM6:AM7" si="3">INT(AK6*AL6)</f>
        <v>0</v>
      </c>
      <c r="AO6" s="40" t="s">
        <v>95</v>
      </c>
      <c r="AP6" s="20">
        <f>V16</f>
        <v>0</v>
      </c>
      <c r="AQ6" s="31">
        <f>$U$24</f>
        <v>3.0200000000000001E-2</v>
      </c>
      <c r="AR6" s="20">
        <f t="shared" ref="AR6:AR7" si="4">INT(AP6*AQ6)</f>
        <v>0</v>
      </c>
      <c r="AT6" s="40" t="s">
        <v>95</v>
      </c>
      <c r="AU6" s="20">
        <f>V17</f>
        <v>0</v>
      </c>
      <c r="AV6" s="31">
        <f>$U$24</f>
        <v>3.0200000000000001E-2</v>
      </c>
      <c r="AW6" s="20">
        <f t="shared" ref="AW6:AW7" si="5">INT(AU6*AV6)</f>
        <v>0</v>
      </c>
      <c r="AY6" s="20">
        <f>W6+AB6+AG6+AM6+AR6+AW6</f>
        <v>0</v>
      </c>
    </row>
    <row r="7" spans="1:51" ht="22.2" customHeight="1" x14ac:dyDescent="0.2">
      <c r="A7" s="27" t="s">
        <v>89</v>
      </c>
      <c r="T7" s="40" t="s">
        <v>96</v>
      </c>
      <c r="U7" s="20">
        <f>W12</f>
        <v>0</v>
      </c>
      <c r="V7" s="31">
        <f>$U$25</f>
        <v>2.5600000000000001E-2</v>
      </c>
      <c r="W7" s="20">
        <f t="shared" si="0"/>
        <v>0</v>
      </c>
      <c r="Y7" s="40" t="s">
        <v>96</v>
      </c>
      <c r="Z7" s="20">
        <f>W13</f>
        <v>0</v>
      </c>
      <c r="AA7" s="31">
        <f>$U$25</f>
        <v>2.5600000000000001E-2</v>
      </c>
      <c r="AB7" s="20">
        <f t="shared" si="1"/>
        <v>0</v>
      </c>
      <c r="AD7" s="40" t="s">
        <v>96</v>
      </c>
      <c r="AE7" s="20">
        <f>W14</f>
        <v>0</v>
      </c>
      <c r="AF7" s="31">
        <f>$U$25</f>
        <v>2.5600000000000001E-2</v>
      </c>
      <c r="AG7" s="20">
        <f t="shared" si="2"/>
        <v>0</v>
      </c>
      <c r="AJ7" s="40" t="s">
        <v>96</v>
      </c>
      <c r="AK7" s="20">
        <f>W15</f>
        <v>0</v>
      </c>
      <c r="AL7" s="31">
        <f>$U$25</f>
        <v>2.5600000000000001E-2</v>
      </c>
      <c r="AM7" s="20">
        <f t="shared" si="3"/>
        <v>0</v>
      </c>
      <c r="AO7" s="40" t="s">
        <v>96</v>
      </c>
      <c r="AP7" s="20">
        <f>W16</f>
        <v>0</v>
      </c>
      <c r="AQ7" s="31">
        <f>$U$25</f>
        <v>2.5600000000000001E-2</v>
      </c>
      <c r="AR7" s="20">
        <f t="shared" si="4"/>
        <v>0</v>
      </c>
      <c r="AT7" s="40" t="s">
        <v>96</v>
      </c>
      <c r="AU7" s="20">
        <f>W17</f>
        <v>0</v>
      </c>
      <c r="AV7" s="31">
        <f>$U$25</f>
        <v>2.5600000000000001E-2</v>
      </c>
      <c r="AW7" s="20">
        <f t="shared" si="5"/>
        <v>0</v>
      </c>
      <c r="AY7" s="20">
        <f>W7+AB7+AG7+AM7+AR7+AW7</f>
        <v>0</v>
      </c>
    </row>
    <row r="8" spans="1:51" ht="23.4" customHeight="1" x14ac:dyDescent="0.2">
      <c r="A8" s="121" t="s">
        <v>157</v>
      </c>
      <c r="B8" s="121"/>
      <c r="C8" s="121"/>
      <c r="D8" s="121"/>
      <c r="E8" s="121"/>
      <c r="F8" s="121"/>
      <c r="G8" s="121"/>
      <c r="H8" s="121"/>
      <c r="I8" s="121"/>
      <c r="J8" s="121"/>
      <c r="K8" s="121"/>
      <c r="L8" s="121"/>
      <c r="M8" s="121"/>
      <c r="N8" s="121"/>
      <c r="O8" s="121"/>
    </row>
    <row r="9" spans="1:51" ht="65.400000000000006" customHeight="1" x14ac:dyDescent="0.2">
      <c r="A9" s="122" t="s">
        <v>156</v>
      </c>
      <c r="B9" s="121"/>
      <c r="C9" s="121"/>
      <c r="D9" s="121"/>
      <c r="E9" s="121"/>
      <c r="F9" s="121"/>
      <c r="G9" s="121"/>
      <c r="H9" s="121"/>
      <c r="I9" s="121"/>
      <c r="J9" s="121"/>
      <c r="K9" s="121"/>
      <c r="L9" s="121"/>
      <c r="M9" s="121"/>
      <c r="N9" s="121"/>
    </row>
    <row r="10" spans="1:51" ht="24.9" customHeight="1" x14ac:dyDescent="0.2">
      <c r="A10" s="126"/>
      <c r="B10" s="128" t="s">
        <v>79</v>
      </c>
      <c r="C10" s="129"/>
      <c r="D10" s="132" t="s">
        <v>159</v>
      </c>
      <c r="E10" s="133"/>
      <c r="F10" s="133"/>
      <c r="G10" s="133"/>
      <c r="H10" s="133"/>
      <c r="I10" s="133"/>
      <c r="J10" s="133"/>
      <c r="K10" s="133"/>
      <c r="L10" s="133"/>
      <c r="M10" s="133"/>
      <c r="N10" s="133"/>
      <c r="O10" s="133"/>
      <c r="P10" s="133"/>
      <c r="Q10" s="16"/>
      <c r="R10" s="16"/>
      <c r="S10" s="16"/>
      <c r="T10" s="16"/>
      <c r="V10" s="56"/>
    </row>
    <row r="11" spans="1:51" ht="24.9" customHeight="1" x14ac:dyDescent="0.2">
      <c r="A11" s="126"/>
      <c r="B11" s="130"/>
      <c r="C11" s="131"/>
      <c r="D11" s="123" t="s">
        <v>54</v>
      </c>
      <c r="E11" s="127"/>
      <c r="F11" s="123" t="s">
        <v>55</v>
      </c>
      <c r="G11" s="124"/>
      <c r="H11" s="123" t="s">
        <v>77</v>
      </c>
      <c r="I11" s="124"/>
      <c r="J11" s="123" t="s">
        <v>78</v>
      </c>
      <c r="K11" s="124"/>
      <c r="L11" s="123" t="s">
        <v>56</v>
      </c>
      <c r="M11" s="134"/>
      <c r="N11" s="125" t="s">
        <v>57</v>
      </c>
      <c r="O11" s="123"/>
      <c r="P11" s="62" t="s">
        <v>122</v>
      </c>
      <c r="Q11" s="17"/>
      <c r="R11" s="17"/>
      <c r="S11" s="17"/>
      <c r="T11" s="32"/>
      <c r="U11" s="35" t="s">
        <v>72</v>
      </c>
      <c r="V11" s="36" t="s">
        <v>73</v>
      </c>
      <c r="W11" s="36" t="s">
        <v>74</v>
      </c>
      <c r="Y11" s="5"/>
      <c r="Z11" s="5" t="s">
        <v>0</v>
      </c>
      <c r="AA11" s="5" t="s">
        <v>3</v>
      </c>
      <c r="AB11" s="5" t="s">
        <v>1</v>
      </c>
      <c r="AC11" s="5" t="s">
        <v>17</v>
      </c>
      <c r="AD11" s="5" t="s">
        <v>21</v>
      </c>
      <c r="AE11" s="4" t="s">
        <v>7</v>
      </c>
      <c r="AF11" s="99" t="s">
        <v>151</v>
      </c>
      <c r="AG11" s="5" t="s">
        <v>19</v>
      </c>
      <c r="AH11" s="5" t="s">
        <v>17</v>
      </c>
      <c r="AI11" s="95" t="s">
        <v>152</v>
      </c>
      <c r="AJ11" s="5" t="s">
        <v>20</v>
      </c>
      <c r="AK11" s="5" t="s">
        <v>2</v>
      </c>
      <c r="AL11" s="5" t="s">
        <v>17</v>
      </c>
      <c r="AM11" s="5" t="s">
        <v>76</v>
      </c>
      <c r="AN11" s="5" t="s">
        <v>22</v>
      </c>
      <c r="AO11" s="5" t="s">
        <v>18</v>
      </c>
      <c r="AP11" s="5" t="s">
        <v>26</v>
      </c>
      <c r="AQ11" s="5" t="s">
        <v>25</v>
      </c>
      <c r="AR11" s="5" t="s">
        <v>8</v>
      </c>
      <c r="AS11" s="5" t="s">
        <v>9</v>
      </c>
      <c r="AT11" s="5" t="s">
        <v>23</v>
      </c>
    </row>
    <row r="12" spans="1:51" ht="24.9" customHeight="1" x14ac:dyDescent="0.2">
      <c r="A12" s="19" t="s">
        <v>58</v>
      </c>
      <c r="B12" s="114"/>
      <c r="C12" s="115"/>
      <c r="D12" s="28"/>
      <c r="E12" s="29" t="s">
        <v>71</v>
      </c>
      <c r="F12" s="13">
        <f>プルダウン!H3</f>
        <v>0</v>
      </c>
      <c r="G12" s="12" t="s">
        <v>71</v>
      </c>
      <c r="H12" s="28"/>
      <c r="I12" s="29" t="s">
        <v>71</v>
      </c>
      <c r="J12" s="14">
        <f>プルダウン!G3</f>
        <v>0</v>
      </c>
      <c r="K12" s="15" t="s">
        <v>71</v>
      </c>
      <c r="L12" s="28"/>
      <c r="M12" s="30" t="s">
        <v>71</v>
      </c>
      <c r="N12" s="11">
        <f>IF(給与所得計算表!J5=1,0,IF((F12+J12+L12)&lt;0,0,(F12+J12+L12)))</f>
        <v>0</v>
      </c>
      <c r="O12" s="60" t="s">
        <v>71</v>
      </c>
      <c r="P12" s="100">
        <f>IF(Q12&gt;0,1,0)</f>
        <v>0</v>
      </c>
      <c r="Q12" s="83">
        <f>F12+プルダウン!G10</f>
        <v>0</v>
      </c>
      <c r="R12" s="18"/>
      <c r="S12" s="18"/>
      <c r="T12" s="33"/>
      <c r="U12" s="22">
        <f>SUM(IF(OR(給与所得計算表!J5=4,給与所得計算表!J5=5),IF(J12-150000&lt;0,0,J12-150000),J12),プルダウン!H10,L12)</f>
        <v>0</v>
      </c>
      <c r="V12" s="74">
        <f>IF(OR(給与所得計算表!J5=5,給与所得計算表!J5=6),0,IF(N12&lt;430000,0,N12-430000))</f>
        <v>0</v>
      </c>
      <c r="W12" s="20">
        <f>IF(給与所得計算表!J5=3,V12,0)</f>
        <v>0</v>
      </c>
      <c r="Y12" s="5" t="s">
        <v>4</v>
      </c>
      <c r="Z12" s="45"/>
      <c r="AA12" s="46"/>
      <c r="AB12" s="45">
        <f>AY5</f>
        <v>0</v>
      </c>
      <c r="AC12" s="3">
        <f>ROUNDUP(AB12*U30,0)</f>
        <v>0</v>
      </c>
      <c r="AD12" s="3">
        <f>AB12-AC12</f>
        <v>0</v>
      </c>
      <c r="AE12" s="3">
        <f>COUNTIF(給与所得計算表!J5:J77,"&gt;=2")-COUNTIF(給与所得計算表!J5:J15,"&gt;=5")</f>
        <v>0</v>
      </c>
      <c r="AF12" s="96">
        <f>COUNTIF(給与所得計算表!J18:J77,"&gt;=5")</f>
        <v>0</v>
      </c>
      <c r="AG12" s="3">
        <f>V23</f>
        <v>34424</v>
      </c>
      <c r="AH12" s="3">
        <f>ROUNDUP(AG12*T30,0)</f>
        <v>24097</v>
      </c>
      <c r="AI12" s="96">
        <f>ROUNDUP(AG12*V30,0)</f>
        <v>29261</v>
      </c>
      <c r="AJ12" s="3">
        <f>(((AG12-AH12)*(AE12-AF12))+((AG12-AI12)*AF12))</f>
        <v>0</v>
      </c>
      <c r="AK12" s="3">
        <f>W23</f>
        <v>33574</v>
      </c>
      <c r="AL12" s="3">
        <f>ROUNDUP(AK12*T30,0)</f>
        <v>23502</v>
      </c>
      <c r="AM12" s="3">
        <f>IF(AE12=0,0,AK12-AL12)</f>
        <v>0</v>
      </c>
      <c r="AN12" s="21">
        <f>AG12*AE12+AK12</f>
        <v>33574</v>
      </c>
      <c r="AO12" s="3">
        <f>AL12+((AE12-AF12)*AH12)+(AF12*AI12)</f>
        <v>23502</v>
      </c>
      <c r="AP12" s="21">
        <f>AN12-AO12</f>
        <v>10072</v>
      </c>
      <c r="AQ12" s="21">
        <f>AP12+AD12</f>
        <v>10072</v>
      </c>
      <c r="AR12" s="3">
        <f>IF(AQ12-X23&lt;0,0,AQ12-X23)</f>
        <v>0</v>
      </c>
      <c r="AS12" s="3">
        <f>IF(AE12=0,0,AQ12-AR12)</f>
        <v>0</v>
      </c>
      <c r="AT12" s="3">
        <f>AS12/12</f>
        <v>0</v>
      </c>
    </row>
    <row r="13" spans="1:51" ht="24.9" customHeight="1" x14ac:dyDescent="0.2">
      <c r="A13" s="19" t="s">
        <v>82</v>
      </c>
      <c r="B13" s="114"/>
      <c r="C13" s="115"/>
      <c r="D13" s="28"/>
      <c r="E13" s="29" t="s">
        <v>71</v>
      </c>
      <c r="F13" s="13">
        <f>プルダウン!H4</f>
        <v>0</v>
      </c>
      <c r="G13" s="15" t="s">
        <v>71</v>
      </c>
      <c r="H13" s="28"/>
      <c r="I13" s="29" t="s">
        <v>71</v>
      </c>
      <c r="J13" s="14">
        <f>プルダウン!G4</f>
        <v>0</v>
      </c>
      <c r="K13" s="15" t="s">
        <v>71</v>
      </c>
      <c r="L13" s="28"/>
      <c r="M13" s="30" t="s">
        <v>71</v>
      </c>
      <c r="N13" s="14">
        <f>IF(給与所得計算表!J18=1,0,IF((F13+J13+L13)&lt;0,0,(F13+J13+L13)))</f>
        <v>0</v>
      </c>
      <c r="O13" s="61" t="s">
        <v>71</v>
      </c>
      <c r="P13" s="100">
        <f t="shared" ref="P13:P17" si="6">IF(Q13&gt;0,1,0)</f>
        <v>0</v>
      </c>
      <c r="Q13" s="83">
        <f>F13+プルダウン!G11</f>
        <v>0</v>
      </c>
      <c r="R13" s="18"/>
      <c r="S13" s="18"/>
      <c r="T13" s="33"/>
      <c r="U13" s="22">
        <f>SUM(IF(OR(給与所得計算表!J18=4),IF(J13-150000&lt;0,0,J13-150000),J13),プルダウン!H11,L13)</f>
        <v>0</v>
      </c>
      <c r="V13" s="74">
        <f>IF(N13&lt;430000,0,N13-430000)</f>
        <v>0</v>
      </c>
      <c r="W13" s="20">
        <f>IF(給与所得計算表!J18=3,V13,0)</f>
        <v>0</v>
      </c>
      <c r="Y13" s="5" t="s">
        <v>5</v>
      </c>
      <c r="Z13" s="45"/>
      <c r="AA13" s="46"/>
      <c r="AB13" s="45">
        <f>AY6</f>
        <v>0</v>
      </c>
      <c r="AC13" s="3">
        <f>ROUNDUP(AB13*U30,0)</f>
        <v>0</v>
      </c>
      <c r="AD13" s="3">
        <f>AB13-AC13</f>
        <v>0</v>
      </c>
      <c r="AE13" s="3">
        <f>COUNTIF(給与所得計算表!J5:J77,"&gt;=2")-COUNTIF(給与所得計算表!J5:J15,"&gt;=5")</f>
        <v>0</v>
      </c>
      <c r="AF13" s="96">
        <f>COUNTIF(給与所得計算表!J18:J77,"&gt;=5")</f>
        <v>0</v>
      </c>
      <c r="AG13" s="3">
        <f>V24</f>
        <v>11034</v>
      </c>
      <c r="AH13" s="3">
        <f>ROUNDUP(AG13*T30,0)</f>
        <v>7724</v>
      </c>
      <c r="AI13" s="96">
        <f>ROUNDUP(AG13*V30,0)</f>
        <v>9379</v>
      </c>
      <c r="AJ13" s="3">
        <f>(((AG13-AH13)*(AE13-AF13))+((AG13-AI13)*AF13))</f>
        <v>0</v>
      </c>
      <c r="AK13" s="3">
        <f>W24</f>
        <v>10761</v>
      </c>
      <c r="AL13" s="3">
        <f>ROUNDUP(AK13*T30,0)</f>
        <v>7533</v>
      </c>
      <c r="AM13" s="3">
        <f>IF(AE13=0,0,AK13-AL13)</f>
        <v>0</v>
      </c>
      <c r="AN13" s="3">
        <f>AG13*AE13+AK13</f>
        <v>10761</v>
      </c>
      <c r="AO13" s="3">
        <f>AL13+((AE13-AF13)*AH13)+(AF13*AI13)</f>
        <v>7533</v>
      </c>
      <c r="AP13" s="21">
        <f>AN13-AO13</f>
        <v>3228</v>
      </c>
      <c r="AQ13" s="21">
        <f>AP13+AD13</f>
        <v>3228</v>
      </c>
      <c r="AR13" s="3">
        <f>IF(AQ13-X24&lt;0,0,AQ13-X24)</f>
        <v>0</v>
      </c>
      <c r="AS13" s="3">
        <f>IF(AE13=0,0,AQ13-AR13)</f>
        <v>0</v>
      </c>
      <c r="AT13" s="3">
        <f>AS13/12</f>
        <v>0</v>
      </c>
    </row>
    <row r="14" spans="1:51" ht="24.9" customHeight="1" x14ac:dyDescent="0.2">
      <c r="A14" s="19" t="s">
        <v>83</v>
      </c>
      <c r="B14" s="114"/>
      <c r="C14" s="115"/>
      <c r="D14" s="28"/>
      <c r="E14" s="29" t="s">
        <v>71</v>
      </c>
      <c r="F14" s="13">
        <f>プルダウン!H5</f>
        <v>0</v>
      </c>
      <c r="G14" s="12" t="s">
        <v>71</v>
      </c>
      <c r="H14" s="28"/>
      <c r="I14" s="29" t="s">
        <v>71</v>
      </c>
      <c r="J14" s="11">
        <f>プルダウン!G5</f>
        <v>0</v>
      </c>
      <c r="K14" s="12" t="s">
        <v>71</v>
      </c>
      <c r="L14" s="28"/>
      <c r="M14" s="30" t="s">
        <v>71</v>
      </c>
      <c r="N14" s="11">
        <f>IF(給与所得計算表!J31=1,0,IF((F14+J14+L14)&lt;0,0,(F14+J14+L14)))</f>
        <v>0</v>
      </c>
      <c r="O14" s="60" t="s">
        <v>71</v>
      </c>
      <c r="P14" s="100">
        <f t="shared" si="6"/>
        <v>0</v>
      </c>
      <c r="Q14" s="83">
        <f>F14+プルダウン!G12</f>
        <v>0</v>
      </c>
      <c r="R14" s="18"/>
      <c r="S14" s="18"/>
      <c r="T14" s="33"/>
      <c r="U14" s="22">
        <f>SUM(IF(OR(給与所得計算表!J31=4),IF(J14-150000&lt;0,0,J14-150000),J14),プルダウン!H12,L14)</f>
        <v>0</v>
      </c>
      <c r="V14" s="74">
        <f>IF(N14&lt;430000,0,N14-430000)</f>
        <v>0</v>
      </c>
      <c r="W14" s="20">
        <f>IF(給与所得計算表!J31=3,V14,0)</f>
        <v>0</v>
      </c>
      <c r="Y14" s="5" t="s">
        <v>6</v>
      </c>
      <c r="Z14" s="45"/>
      <c r="AA14" s="46"/>
      <c r="AB14" s="45">
        <f>AY7</f>
        <v>0</v>
      </c>
      <c r="AC14" s="3">
        <v>0</v>
      </c>
      <c r="AD14" s="3">
        <f>AB14-AC14</f>
        <v>0</v>
      </c>
      <c r="AE14" s="3">
        <f>COUNTIF(給与所得計算表!J5:J77,"3")</f>
        <v>0</v>
      </c>
      <c r="AF14" s="96">
        <v>0</v>
      </c>
      <c r="AG14" s="3">
        <f>V25</f>
        <v>18784</v>
      </c>
      <c r="AH14" s="3">
        <f>ROUNDUP(AG14*T30,0)</f>
        <v>13149</v>
      </c>
      <c r="AI14" s="96">
        <v>0</v>
      </c>
      <c r="AJ14" s="3">
        <f>(AG14-AH14)*AE14</f>
        <v>0</v>
      </c>
      <c r="AK14" s="3">
        <f>W25</f>
        <v>0</v>
      </c>
      <c r="AL14" s="3">
        <f>ROUNDUP(AK14*T30,0)</f>
        <v>0</v>
      </c>
      <c r="AM14" s="3">
        <f t="shared" ref="AM14" si="7">AK14-AL14</f>
        <v>0</v>
      </c>
      <c r="AN14" s="3">
        <f>AG14*AE14+AK14</f>
        <v>0</v>
      </c>
      <c r="AO14" s="3">
        <f>AL14+(AH14*AE14)</f>
        <v>0</v>
      </c>
      <c r="AP14" s="21">
        <f>AN14-AO14</f>
        <v>0</v>
      </c>
      <c r="AQ14" s="21">
        <f>AP14+AD14</f>
        <v>0</v>
      </c>
      <c r="AR14" s="3">
        <f>IF(AQ14-X25&lt;0,0,AQ14-X25)</f>
        <v>0</v>
      </c>
      <c r="AS14" s="3">
        <f>IF(AE14=0,0,AQ14-AR14)</f>
        <v>0</v>
      </c>
      <c r="AT14" s="3">
        <f>AS14/12</f>
        <v>0</v>
      </c>
    </row>
    <row r="15" spans="1:51" ht="24.9" customHeight="1" x14ac:dyDescent="0.2">
      <c r="A15" s="19" t="s">
        <v>84</v>
      </c>
      <c r="B15" s="114"/>
      <c r="C15" s="115"/>
      <c r="D15" s="28"/>
      <c r="E15" s="29" t="s">
        <v>71</v>
      </c>
      <c r="F15" s="13">
        <f>プルダウン!H6</f>
        <v>0</v>
      </c>
      <c r="G15" s="15" t="s">
        <v>71</v>
      </c>
      <c r="H15" s="28"/>
      <c r="I15" s="29" t="s">
        <v>71</v>
      </c>
      <c r="J15" s="14">
        <f>プルダウン!G6</f>
        <v>0</v>
      </c>
      <c r="K15" s="15" t="s">
        <v>71</v>
      </c>
      <c r="L15" s="28"/>
      <c r="M15" s="30" t="s">
        <v>71</v>
      </c>
      <c r="N15" s="14">
        <f>IF(給与所得計算表!J44=1,0,IF((F15+J15+L15)&lt;0,0,(F15+J15+L15)))</f>
        <v>0</v>
      </c>
      <c r="O15" s="61" t="s">
        <v>71</v>
      </c>
      <c r="P15" s="100">
        <f t="shared" si="6"/>
        <v>0</v>
      </c>
      <c r="Q15" s="83">
        <f>F15+プルダウン!G13</f>
        <v>0</v>
      </c>
      <c r="R15" s="18"/>
      <c r="S15" s="18"/>
      <c r="T15" s="33"/>
      <c r="U15" s="22">
        <f>SUM(IF(OR(給与所得計算表!J44=4),IF(J15-150000&lt;0,0,J15-150000),J15),プルダウン!H13,L15)</f>
        <v>0</v>
      </c>
      <c r="V15" s="74">
        <f>IF(N15&lt;430000,0,N15-430000)</f>
        <v>0</v>
      </c>
      <c r="W15" s="20">
        <f>IF(給与所得計算表!J44=3,V15,0)</f>
        <v>0</v>
      </c>
      <c r="Y15" s="2"/>
      <c r="Z15" s="3"/>
      <c r="AA15" s="3"/>
      <c r="AB15" s="3"/>
      <c r="AC15" s="3"/>
      <c r="AD15" s="3"/>
      <c r="AE15" s="3"/>
      <c r="AF15" s="3"/>
      <c r="AG15" s="3"/>
      <c r="AH15" s="3"/>
      <c r="AI15" s="96"/>
      <c r="AJ15" s="3"/>
      <c r="AK15" s="3"/>
      <c r="AL15" s="3"/>
      <c r="AM15" s="3"/>
      <c r="AN15" s="3"/>
      <c r="AO15" s="3"/>
      <c r="AP15" s="3"/>
      <c r="AQ15" s="3"/>
      <c r="AR15" s="3"/>
      <c r="AS15" s="3">
        <f>SUM(AS12:AS14)</f>
        <v>0</v>
      </c>
      <c r="AT15" s="3">
        <f>AS15/12</f>
        <v>0</v>
      </c>
    </row>
    <row r="16" spans="1:51" ht="24.9" customHeight="1" x14ac:dyDescent="0.2">
      <c r="A16" s="19" t="s">
        <v>85</v>
      </c>
      <c r="B16" s="114"/>
      <c r="C16" s="115"/>
      <c r="D16" s="28"/>
      <c r="E16" s="29" t="s">
        <v>71</v>
      </c>
      <c r="F16" s="13">
        <f>プルダウン!H7</f>
        <v>0</v>
      </c>
      <c r="G16" s="12" t="s">
        <v>71</v>
      </c>
      <c r="H16" s="28"/>
      <c r="I16" s="29" t="s">
        <v>71</v>
      </c>
      <c r="J16" s="11">
        <f>プルダウン!G7</f>
        <v>0</v>
      </c>
      <c r="K16" s="12" t="s">
        <v>71</v>
      </c>
      <c r="L16" s="28"/>
      <c r="M16" s="30" t="s">
        <v>71</v>
      </c>
      <c r="N16" s="11">
        <f>IF(給与所得計算表!J57=1,0,IF((F16+J16+L16)&lt;0,0,(F16+J16+L16)))</f>
        <v>0</v>
      </c>
      <c r="O16" s="60" t="s">
        <v>71</v>
      </c>
      <c r="P16" s="100">
        <f t="shared" si="6"/>
        <v>0</v>
      </c>
      <c r="Q16" s="83">
        <f>F16+プルダウン!G14</f>
        <v>0</v>
      </c>
      <c r="R16" s="18"/>
      <c r="S16" s="18"/>
      <c r="T16" s="33"/>
      <c r="U16" s="22">
        <f>SUM(IF(OR(給与所得計算表!J57=4),IF(J16-150000&lt;0,0,J16-150000),J16),プルダウン!H14,L16)</f>
        <v>0</v>
      </c>
      <c r="V16" s="74">
        <f>IF(N16&lt;430000,0,N16-430000)</f>
        <v>0</v>
      </c>
      <c r="W16" s="20">
        <f>IF(給与所得計算表!J57=3,V16,0)</f>
        <v>0</v>
      </c>
    </row>
    <row r="17" spans="1:31" ht="24.9" customHeight="1" thickBot="1" x14ac:dyDescent="0.25">
      <c r="A17" s="19" t="s">
        <v>86</v>
      </c>
      <c r="B17" s="114"/>
      <c r="C17" s="115"/>
      <c r="D17" s="28"/>
      <c r="E17" s="29" t="s">
        <v>71</v>
      </c>
      <c r="F17" s="13">
        <f>プルダウン!H8</f>
        <v>0</v>
      </c>
      <c r="G17" s="15" t="s">
        <v>71</v>
      </c>
      <c r="H17" s="28"/>
      <c r="I17" s="29" t="s">
        <v>71</v>
      </c>
      <c r="J17" s="14">
        <f>プルダウン!G8</f>
        <v>0</v>
      </c>
      <c r="K17" s="15" t="s">
        <v>71</v>
      </c>
      <c r="L17" s="28"/>
      <c r="M17" s="30" t="s">
        <v>71</v>
      </c>
      <c r="N17" s="14">
        <f>IF(給与所得計算表!J70=1,0,IF((F17+J17+L17)&lt;0,0,(F17+J17+L17)))</f>
        <v>0</v>
      </c>
      <c r="O17" s="61" t="s">
        <v>71</v>
      </c>
      <c r="P17" s="100">
        <f t="shared" si="6"/>
        <v>0</v>
      </c>
      <c r="Q17" s="83">
        <f>F17+プルダウン!G15</f>
        <v>0</v>
      </c>
      <c r="R17" s="18"/>
      <c r="S17" s="18"/>
      <c r="T17" s="33"/>
      <c r="U17" s="22">
        <f>SUM(IF(OR(給与所得計算表!J70=4),IF(J17-150000&lt;0,0,J17-150000),J17),プルダウン!H15,L17)</f>
        <v>0</v>
      </c>
      <c r="V17" s="74">
        <f>IF(N17&lt;430000,0,N17-430000)</f>
        <v>0</v>
      </c>
      <c r="W17" s="20">
        <f>IF(給与所得計算表!J70=3,V17,0)</f>
        <v>0</v>
      </c>
    </row>
    <row r="18" spans="1:31" ht="23.4" customHeight="1" thickBot="1" x14ac:dyDescent="0.25">
      <c r="J18" s="113" t="s">
        <v>123</v>
      </c>
      <c r="K18" s="113"/>
      <c r="L18" s="113"/>
      <c r="M18" s="113"/>
      <c r="N18" s="113"/>
      <c r="O18" s="84">
        <f>P18</f>
        <v>0</v>
      </c>
      <c r="P18" s="82">
        <f>SUM(P12:P17)</f>
        <v>0</v>
      </c>
      <c r="T18" s="38" t="s">
        <v>106</v>
      </c>
      <c r="U18" s="22">
        <f>SUM(U12:U17)</f>
        <v>0</v>
      </c>
      <c r="V18" s="20">
        <f>SUM(V12:V17)</f>
        <v>0</v>
      </c>
      <c r="W18" s="20">
        <f>SUM(W12:W17)</f>
        <v>0</v>
      </c>
    </row>
    <row r="19" spans="1:31" ht="4.5" customHeight="1" x14ac:dyDescent="0.2"/>
    <row r="20" spans="1:31" ht="9.75" customHeight="1" x14ac:dyDescent="0.2">
      <c r="T20" s="34" t="s">
        <v>103</v>
      </c>
    </row>
    <row r="21" spans="1:31" ht="6.75" customHeight="1" x14ac:dyDescent="0.2">
      <c r="L21" s="10"/>
      <c r="M21" s="10"/>
      <c r="N21" s="10"/>
      <c r="O21" s="10"/>
      <c r="P21" s="10"/>
      <c r="Q21" s="10"/>
      <c r="R21" s="10"/>
      <c r="S21" s="10"/>
      <c r="T21" s="10"/>
    </row>
    <row r="22" spans="1:31" ht="10.5" customHeight="1" x14ac:dyDescent="0.2">
      <c r="T22" s="4"/>
      <c r="U22" s="4" t="s">
        <v>1</v>
      </c>
      <c r="V22" s="4" t="s">
        <v>47</v>
      </c>
      <c r="W22" s="4" t="s">
        <v>2</v>
      </c>
      <c r="X22" s="4" t="s">
        <v>49</v>
      </c>
      <c r="Y22" s="6" t="s">
        <v>52</v>
      </c>
      <c r="Z22" s="6" t="s">
        <v>53</v>
      </c>
    </row>
    <row r="23" spans="1:31" ht="40.5" customHeight="1" x14ac:dyDescent="0.2">
      <c r="A23" s="101" t="s">
        <v>161</v>
      </c>
      <c r="B23" s="101"/>
      <c r="C23" s="101"/>
      <c r="D23" s="101"/>
      <c r="E23" s="101"/>
      <c r="F23" s="101"/>
      <c r="G23" s="101"/>
      <c r="H23" s="101"/>
      <c r="I23" s="101"/>
      <c r="J23" s="101"/>
      <c r="K23" s="101"/>
      <c r="L23" s="101"/>
      <c r="M23" s="101"/>
      <c r="N23" s="101"/>
      <c r="O23" s="101"/>
      <c r="P23" s="101"/>
      <c r="T23" s="4" t="s">
        <v>48</v>
      </c>
      <c r="U23" s="75">
        <v>9.2999999999999999E-2</v>
      </c>
      <c r="V23" s="76">
        <v>34424</v>
      </c>
      <c r="W23" s="76">
        <v>33574</v>
      </c>
      <c r="X23" s="77">
        <v>650000</v>
      </c>
      <c r="Y23" s="77">
        <v>16787</v>
      </c>
      <c r="Z23" s="77">
        <v>25181</v>
      </c>
    </row>
    <row r="24" spans="1:31" ht="14.4" x14ac:dyDescent="0.2">
      <c r="T24" s="4" t="s">
        <v>5</v>
      </c>
      <c r="U24" s="75">
        <v>3.0200000000000001E-2</v>
      </c>
      <c r="V24" s="76">
        <v>11034</v>
      </c>
      <c r="W24" s="76">
        <v>10761</v>
      </c>
      <c r="X24" s="77">
        <v>240000</v>
      </c>
      <c r="Y24" s="77">
        <v>5381</v>
      </c>
      <c r="Z24" s="77">
        <v>8071</v>
      </c>
    </row>
    <row r="25" spans="1:31" ht="14.4" x14ac:dyDescent="0.2">
      <c r="T25" s="4" t="s">
        <v>24</v>
      </c>
      <c r="U25" s="75">
        <v>2.5600000000000001E-2</v>
      </c>
      <c r="V25" s="76">
        <v>18784</v>
      </c>
      <c r="W25" s="76">
        <v>0</v>
      </c>
      <c r="X25" s="77">
        <v>170000</v>
      </c>
      <c r="Y25" s="77">
        <v>0</v>
      </c>
      <c r="Z25" s="77">
        <v>0</v>
      </c>
    </row>
    <row r="26" spans="1:31" ht="28.2" x14ac:dyDescent="0.2">
      <c r="A26" s="104"/>
      <c r="B26" s="104"/>
      <c r="C26" s="105" t="s">
        <v>63</v>
      </c>
      <c r="D26" s="106"/>
      <c r="E26" s="106" t="s">
        <v>64</v>
      </c>
      <c r="F26" s="106"/>
      <c r="G26" s="106" t="s">
        <v>65</v>
      </c>
      <c r="H26" s="106"/>
      <c r="I26" s="106" t="s">
        <v>66</v>
      </c>
      <c r="J26" s="106"/>
      <c r="K26" s="106" t="s">
        <v>67</v>
      </c>
      <c r="L26" s="106"/>
    </row>
    <row r="27" spans="1:31" ht="36" customHeight="1" x14ac:dyDescent="0.2">
      <c r="A27" s="106" t="s">
        <v>68</v>
      </c>
      <c r="B27" s="106"/>
      <c r="C27" s="107" t="str">
        <f>TEXT(入力画面!AD12,"#,##0"&amp;"円")</f>
        <v>0円</v>
      </c>
      <c r="D27" s="107"/>
      <c r="E27" s="111" t="str">
        <f>TEXT(入力画面!AJ12,"#,##0"&amp;"円")</f>
        <v>0円</v>
      </c>
      <c r="F27" s="111"/>
      <c r="G27" s="112" t="str">
        <f>TEXT(入力画面!AM12,"#,##0"&amp;"円")</f>
        <v>0円</v>
      </c>
      <c r="H27" s="112"/>
      <c r="I27" s="112" t="str">
        <f>TEXT(入力画面!AS12,"#,##0"&amp;"円")</f>
        <v>0円</v>
      </c>
      <c r="J27" s="112"/>
      <c r="K27" s="112" t="str">
        <f>TEXT(入力画面!X23,"#,##0"&amp;"円")</f>
        <v>650,000円</v>
      </c>
      <c r="L27" s="112"/>
      <c r="T27" s="1" t="s">
        <v>16</v>
      </c>
      <c r="V27"/>
      <c r="X27" s="56" t="s">
        <v>104</v>
      </c>
      <c r="AC27" s="56" t="s">
        <v>105</v>
      </c>
    </row>
    <row r="28" spans="1:31" ht="28.2" x14ac:dyDescent="0.2">
      <c r="A28" s="106" t="s">
        <v>69</v>
      </c>
      <c r="B28" s="106"/>
      <c r="C28" s="108" t="str">
        <f>TEXT(入力画面!AD13,"#,##0"&amp;"円")</f>
        <v>0円</v>
      </c>
      <c r="D28" s="108"/>
      <c r="E28" s="112" t="str">
        <f>TEXT(入力画面!AJ13,"#,##0"&amp;"円")</f>
        <v>0円</v>
      </c>
      <c r="F28" s="112"/>
      <c r="G28" s="112" t="str">
        <f>TEXT(入力画面!AM13,"#,##0"&amp;"円")</f>
        <v>0円</v>
      </c>
      <c r="H28" s="112"/>
      <c r="I28" s="112" t="str">
        <f>TEXT(入力画面!AS13,"#,##0"&amp;"円")</f>
        <v>0円</v>
      </c>
      <c r="J28" s="112"/>
      <c r="K28" s="112" t="str">
        <f>TEXT(入力画面!X24,"#,##0"&amp;"円")</f>
        <v>240,000円</v>
      </c>
      <c r="L28" s="112"/>
      <c r="T28" s="1"/>
      <c r="U28"/>
      <c r="V28"/>
      <c r="AC28" s="58"/>
    </row>
    <row r="29" spans="1:31" s="9" customFormat="1" ht="28.2" x14ac:dyDescent="0.2">
      <c r="A29" s="106" t="s">
        <v>70</v>
      </c>
      <c r="B29" s="106"/>
      <c r="C29" s="108" t="str">
        <f>TEXT(入力画面!AD14,"#,##0"&amp;"円")</f>
        <v>0円</v>
      </c>
      <c r="D29" s="108"/>
      <c r="E29" s="111" t="str">
        <f>TEXT(入力画面!AJ14,"#,##0"&amp;"円")</f>
        <v>0円</v>
      </c>
      <c r="F29" s="111"/>
      <c r="G29" s="111" t="str">
        <f>TEXT(入力画面!AM14,"#,##0"&amp;"円")</f>
        <v>0円</v>
      </c>
      <c r="H29" s="111"/>
      <c r="I29" s="111" t="str">
        <f>TEXT(入力画面!AS14,"#,##0"&amp;"円")</f>
        <v>0円</v>
      </c>
      <c r="J29" s="111"/>
      <c r="K29" s="111" t="str">
        <f>TEXT(入力画面!X25,"#,##0"&amp;"円")</f>
        <v>170,000円</v>
      </c>
      <c r="L29" s="111"/>
      <c r="T29" s="4" t="s">
        <v>11</v>
      </c>
      <c r="U29" s="4" t="s">
        <v>10</v>
      </c>
      <c r="V29" s="5">
        <f>IF(U18&lt;=AA30,IF(U18&lt;=Z30,IF(U18&lt;=Y30,0.7,0.5),0.2),0)</f>
        <v>0.7</v>
      </c>
      <c r="X29" s="4"/>
      <c r="Y29" s="80" t="s">
        <v>12</v>
      </c>
      <c r="Z29" s="80" t="s">
        <v>13</v>
      </c>
      <c r="AA29" s="80" t="s">
        <v>15</v>
      </c>
      <c r="AC29" s="37" t="s">
        <v>75</v>
      </c>
      <c r="AD29" s="37">
        <f>COUNTIF(給与所得計算表!J5:J70,"&gt;=2")</f>
        <v>0</v>
      </c>
    </row>
    <row r="30" spans="1:31" s="9" customFormat="1" ht="28.2" x14ac:dyDescent="0.2">
      <c r="A30" s="23"/>
      <c r="B30" s="120"/>
      <c r="C30" s="120"/>
      <c r="D30" s="120"/>
      <c r="E30" s="120"/>
      <c r="F30" s="120"/>
      <c r="G30" s="120"/>
      <c r="H30" s="120"/>
      <c r="I30" s="120"/>
      <c r="J30" s="120"/>
      <c r="K30" s="7"/>
      <c r="T30" s="78">
        <f>V29</f>
        <v>0.7</v>
      </c>
      <c r="U30" s="78">
        <f>IF(U18&lt;=AA32,IF(U18&lt;=Z32,IF(U18&lt;=Y32,0,0),0),0)</f>
        <v>0</v>
      </c>
      <c r="V30" s="97">
        <f>1-((1-V29)/2)</f>
        <v>0.85</v>
      </c>
      <c r="W30" s="98" t="s">
        <v>153</v>
      </c>
      <c r="X30" s="4" t="s">
        <v>11</v>
      </c>
      <c r="Y30" s="79">
        <f>430000+MAX((100000*(P18-1)),0)</f>
        <v>430000</v>
      </c>
      <c r="Z30" s="79">
        <f>430000+305000*AE12+MAX((100000*(P18-1)),0)</f>
        <v>430000</v>
      </c>
      <c r="AA30" s="79">
        <f>430000+560000*AE12+MAX((100000*(P18-1)),0)</f>
        <v>430000</v>
      </c>
      <c r="AE30" s="59"/>
    </row>
    <row r="31" spans="1:31" ht="16.95" customHeight="1" x14ac:dyDescent="0.2">
      <c r="X31" s="4"/>
      <c r="Y31" s="80" t="s">
        <v>111</v>
      </c>
      <c r="Z31" s="80" t="s">
        <v>111</v>
      </c>
      <c r="AA31" s="80" t="s">
        <v>111</v>
      </c>
    </row>
    <row r="32" spans="1:31" ht="33" x14ac:dyDescent="0.2">
      <c r="F32" s="118" t="s">
        <v>162</v>
      </c>
      <c r="G32" s="118"/>
      <c r="H32" s="118"/>
      <c r="I32" s="118"/>
      <c r="J32" s="118"/>
      <c r="K32" s="118"/>
      <c r="L32" s="116" t="str">
        <f>TEXT(入力画面!AS15,"#,##0"&amp;"円")</f>
        <v>0円</v>
      </c>
      <c r="M32" s="116"/>
      <c r="N32" s="116"/>
      <c r="O32" s="116"/>
      <c r="X32" s="4" t="s">
        <v>14</v>
      </c>
      <c r="Y32" s="81">
        <f>330000*AD29</f>
        <v>0</v>
      </c>
      <c r="Z32" s="81">
        <f>330000*(AD29+1)</f>
        <v>330000</v>
      </c>
      <c r="AA32" s="81">
        <f>330000*(AD29+2)</f>
        <v>660000</v>
      </c>
    </row>
    <row r="33" spans="1:29" ht="33" x14ac:dyDescent="0.2">
      <c r="F33" s="119" t="s">
        <v>163</v>
      </c>
      <c r="G33" s="119"/>
      <c r="H33" s="119"/>
      <c r="I33" s="119"/>
      <c r="J33" s="119"/>
      <c r="K33" s="119"/>
      <c r="L33" s="117" t="str">
        <f>TEXT(入力画面!AT15,"#,##0"&amp;"円")</f>
        <v>0円</v>
      </c>
      <c r="M33" s="117"/>
      <c r="N33" s="117"/>
      <c r="O33" s="117"/>
      <c r="AC33" s="57"/>
    </row>
    <row r="34" spans="1:29" ht="16.2" x14ac:dyDescent="0.2">
      <c r="F34" s="44" t="s">
        <v>109</v>
      </c>
      <c r="G34" s="44"/>
      <c r="H34" s="44"/>
      <c r="I34" s="44"/>
      <c r="J34" s="44"/>
      <c r="K34" s="44"/>
      <c r="L34" s="44"/>
      <c r="M34" s="44"/>
      <c r="N34" s="44"/>
      <c r="O34" s="44"/>
    </row>
    <row r="35" spans="1:29" ht="16.2" x14ac:dyDescent="0.2">
      <c r="F35" s="43" t="s">
        <v>110</v>
      </c>
    </row>
    <row r="36" spans="1:29" ht="8.4" customHeight="1" x14ac:dyDescent="0.2">
      <c r="A36"/>
      <c r="B36"/>
      <c r="D36"/>
      <c r="E36"/>
      <c r="F36"/>
      <c r="G36"/>
      <c r="H36"/>
      <c r="I36"/>
      <c r="J36"/>
      <c r="K36"/>
    </row>
    <row r="39" spans="1:29" ht="28.2" x14ac:dyDescent="0.2">
      <c r="B39" s="109"/>
      <c r="C39" s="109"/>
      <c r="D39" s="109"/>
      <c r="E39" s="110"/>
      <c r="F39" s="110"/>
      <c r="G39" s="110"/>
      <c r="H39" s="110"/>
      <c r="I39" s="110"/>
      <c r="J39" s="110"/>
      <c r="K39" s="110"/>
      <c r="L39" s="110"/>
      <c r="M39" s="110"/>
    </row>
    <row r="40" spans="1:29" ht="28.2" x14ac:dyDescent="0.2">
      <c r="B40" s="110"/>
      <c r="C40" s="110"/>
      <c r="D40" s="47"/>
      <c r="E40" s="48"/>
      <c r="F40" s="47"/>
      <c r="G40" s="48"/>
      <c r="H40" s="47"/>
      <c r="I40" s="48"/>
      <c r="J40" s="47"/>
      <c r="K40" s="48"/>
      <c r="L40" s="49"/>
      <c r="M40" s="48"/>
    </row>
    <row r="41" spans="1:29" ht="28.2" x14ac:dyDescent="0.2">
      <c r="B41" s="110"/>
      <c r="C41" s="110"/>
      <c r="D41" s="47"/>
      <c r="E41" s="48"/>
      <c r="F41" s="47"/>
      <c r="G41" s="48"/>
      <c r="H41" s="47"/>
      <c r="I41" s="48"/>
      <c r="J41" s="47"/>
      <c r="K41" s="48"/>
      <c r="L41" s="49"/>
      <c r="M41" s="48"/>
    </row>
    <row r="42" spans="1:29" ht="28.2" x14ac:dyDescent="0.2">
      <c r="B42" s="110"/>
      <c r="C42" s="110"/>
      <c r="D42" s="47"/>
      <c r="E42" s="48"/>
      <c r="F42" s="47"/>
      <c r="G42" s="48"/>
      <c r="H42" s="47"/>
      <c r="I42" s="48"/>
      <c r="J42" s="47"/>
      <c r="K42" s="48"/>
      <c r="L42" s="49"/>
      <c r="M42" s="48"/>
    </row>
    <row r="44" spans="1:29" ht="33" x14ac:dyDescent="0.2">
      <c r="B44" s="50"/>
      <c r="D44" s="51"/>
      <c r="E44" s="51"/>
      <c r="F44" s="51"/>
      <c r="G44" s="51"/>
      <c r="H44" s="103"/>
      <c r="I44" s="103"/>
      <c r="J44" s="103"/>
      <c r="K44" s="52"/>
    </row>
    <row r="45" spans="1:29" ht="33" x14ac:dyDescent="0.2">
      <c r="B45" s="51"/>
      <c r="D45" s="51"/>
      <c r="E45" s="51"/>
      <c r="F45" s="51"/>
      <c r="G45" s="51"/>
      <c r="H45" s="103"/>
      <c r="I45" s="103"/>
      <c r="J45" s="103"/>
      <c r="K45" s="52"/>
    </row>
    <row r="46" spans="1:29" ht="16.2" x14ac:dyDescent="0.2">
      <c r="B46" s="44"/>
      <c r="C46" s="44"/>
      <c r="D46" s="44"/>
      <c r="E46" s="44"/>
      <c r="F46" s="44"/>
      <c r="G46" s="44"/>
      <c r="H46" s="44"/>
      <c r="I46" s="44"/>
      <c r="J46" s="44"/>
      <c r="K46" s="44"/>
    </row>
    <row r="47" spans="1:29" ht="16.2" x14ac:dyDescent="0.2">
      <c r="B47" s="43"/>
    </row>
  </sheetData>
  <sheetProtection algorithmName="SHA-512" hashValue="hCtuqsTM4JZ70jeAFaw7hwC/+oRUn/0ERQOndySloaYNd52RgBcPikkZUzyhWk6e0/5UkWzsNLi+v5sdJEgKHQ==" saltValue="UnCuPFerVCp/LkQuFzQEcQ==" spinCount="100000" sheet="1" selectLockedCells="1"/>
  <mergeCells count="61">
    <mergeCell ref="A8:O8"/>
    <mergeCell ref="A9:N9"/>
    <mergeCell ref="J11:K11"/>
    <mergeCell ref="B15:C15"/>
    <mergeCell ref="B16:C16"/>
    <mergeCell ref="N11:O11"/>
    <mergeCell ref="A10:A11"/>
    <mergeCell ref="D11:E11"/>
    <mergeCell ref="B12:C12"/>
    <mergeCell ref="B13:C13"/>
    <mergeCell ref="B14:C14"/>
    <mergeCell ref="B10:C11"/>
    <mergeCell ref="F11:G11"/>
    <mergeCell ref="H11:I11"/>
    <mergeCell ref="D10:P10"/>
    <mergeCell ref="L11:M11"/>
    <mergeCell ref="J18:N18"/>
    <mergeCell ref="B17:C17"/>
    <mergeCell ref="L32:O32"/>
    <mergeCell ref="L33:O33"/>
    <mergeCell ref="F32:K32"/>
    <mergeCell ref="F33:K33"/>
    <mergeCell ref="I29:J29"/>
    <mergeCell ref="B30:J30"/>
    <mergeCell ref="K29:L29"/>
    <mergeCell ref="I27:J27"/>
    <mergeCell ref="K27:L27"/>
    <mergeCell ref="E28:F28"/>
    <mergeCell ref="I28:J28"/>
    <mergeCell ref="K28:L28"/>
    <mergeCell ref="C29:D29"/>
    <mergeCell ref="L39:M39"/>
    <mergeCell ref="D39:E39"/>
    <mergeCell ref="F39:G39"/>
    <mergeCell ref="H39:I39"/>
    <mergeCell ref="J39:K39"/>
    <mergeCell ref="B39:C39"/>
    <mergeCell ref="B42:C42"/>
    <mergeCell ref="E27:F27"/>
    <mergeCell ref="G27:H27"/>
    <mergeCell ref="E29:F29"/>
    <mergeCell ref="G29:H29"/>
    <mergeCell ref="G28:H28"/>
    <mergeCell ref="B40:C40"/>
    <mergeCell ref="B41:C41"/>
    <mergeCell ref="A2:P2"/>
    <mergeCell ref="A23:P23"/>
    <mergeCell ref="L1:M1"/>
    <mergeCell ref="H44:J44"/>
    <mergeCell ref="H45:J45"/>
    <mergeCell ref="A26:B26"/>
    <mergeCell ref="C26:D26"/>
    <mergeCell ref="E26:F26"/>
    <mergeCell ref="G26:H26"/>
    <mergeCell ref="I26:J26"/>
    <mergeCell ref="K26:L26"/>
    <mergeCell ref="A27:B27"/>
    <mergeCell ref="A28:B28"/>
    <mergeCell ref="A29:B29"/>
    <mergeCell ref="C27:D27"/>
    <mergeCell ref="C28:D28"/>
  </mergeCells>
  <phoneticPr fontId="7"/>
  <pageMargins left="0.7" right="0.7" top="0.75" bottom="0.75" header="0.3" footer="0.3"/>
  <pageSetup paperSize="9" scale="60" fitToWidth="0" orientation="landscape" verticalDpi="1200" r:id="rId1"/>
  <colBreaks count="1" manualBreakCount="1">
    <brk id="19"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Drop Down 6">
              <controlPr defaultSize="0" autoLine="0" autoPict="0" altText="">
                <anchor moveWithCells="1">
                  <from>
                    <xdr:col>1</xdr:col>
                    <xdr:colOff>0</xdr:colOff>
                    <xdr:row>11</xdr:row>
                    <xdr:rowOff>0</xdr:rowOff>
                  </from>
                  <to>
                    <xdr:col>3</xdr:col>
                    <xdr:colOff>0</xdr:colOff>
                    <xdr:row>12</xdr:row>
                    <xdr:rowOff>0</xdr:rowOff>
                  </to>
                </anchor>
              </controlPr>
            </control>
          </mc:Choice>
        </mc:AlternateContent>
        <mc:AlternateContent xmlns:mc="http://schemas.openxmlformats.org/markup-compatibility/2006">
          <mc:Choice Requires="x14">
            <control shapeId="2066" r:id="rId5" name="Drop Down 18">
              <controlPr defaultSize="0" autoLine="0" autoPict="0">
                <anchor moveWithCells="1">
                  <from>
                    <xdr:col>1</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2067" r:id="rId6" name="Drop Down 19">
              <controlPr defaultSize="0" autoLine="0" autoPict="0">
                <anchor moveWithCells="1">
                  <from>
                    <xdr:col>1</xdr:col>
                    <xdr:colOff>0</xdr:colOff>
                    <xdr:row>13</xdr:row>
                    <xdr:rowOff>0</xdr:rowOff>
                  </from>
                  <to>
                    <xdr:col>3</xdr:col>
                    <xdr:colOff>0</xdr:colOff>
                    <xdr:row>14</xdr:row>
                    <xdr:rowOff>0</xdr:rowOff>
                  </to>
                </anchor>
              </controlPr>
            </control>
          </mc:Choice>
        </mc:AlternateContent>
        <mc:AlternateContent xmlns:mc="http://schemas.openxmlformats.org/markup-compatibility/2006">
          <mc:Choice Requires="x14">
            <control shapeId="2068" r:id="rId7" name="Drop Down 20">
              <controlPr defaultSize="0" autoLine="0" autoPict="0">
                <anchor moveWithCells="1">
                  <from>
                    <xdr:col>1</xdr:col>
                    <xdr:colOff>0</xdr:colOff>
                    <xdr:row>14</xdr:row>
                    <xdr:rowOff>0</xdr:rowOff>
                  </from>
                  <to>
                    <xdr:col>3</xdr:col>
                    <xdr:colOff>0</xdr:colOff>
                    <xdr:row>15</xdr:row>
                    <xdr:rowOff>0</xdr:rowOff>
                  </to>
                </anchor>
              </controlPr>
            </control>
          </mc:Choice>
        </mc:AlternateContent>
        <mc:AlternateContent xmlns:mc="http://schemas.openxmlformats.org/markup-compatibility/2006">
          <mc:Choice Requires="x14">
            <control shapeId="2069" r:id="rId8" name="Drop Down 21">
              <controlPr defaultSize="0" autoLine="0" autoPict="0">
                <anchor moveWithCells="1">
                  <from>
                    <xdr:col>1</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2070" r:id="rId9" name="Drop Down 22">
              <controlPr defaultSize="0" autoLine="0" autoPict="0">
                <anchor moveWithCells="1">
                  <from>
                    <xdr:col>1</xdr:col>
                    <xdr:colOff>0</xdr:colOff>
                    <xdr:row>16</xdr:row>
                    <xdr:rowOff>0</xdr:rowOff>
                  </from>
                  <to>
                    <xdr:col>3</xdr:col>
                    <xdr:colOff>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プルダウン!$A$2:$A$6</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2"/>
  <sheetViews>
    <sheetView topLeftCell="F43" workbookViewId="0">
      <selection activeCell="L46" sqref="L46"/>
    </sheetView>
  </sheetViews>
  <sheetFormatPr defaultRowHeight="13.2" x14ac:dyDescent="0.2"/>
  <cols>
    <col min="1" max="1" width="15.33203125" customWidth="1"/>
    <col min="2" max="3" width="9" customWidth="1"/>
    <col min="4" max="5" width="11" customWidth="1"/>
    <col min="6" max="6" width="9" customWidth="1"/>
    <col min="7" max="7" width="23.88671875" customWidth="1"/>
    <col min="8" max="8" width="8.33203125" customWidth="1"/>
    <col min="9" max="9" width="11" customWidth="1"/>
    <col min="10" max="10" width="9" customWidth="1"/>
    <col min="11" max="11" width="23.88671875" customWidth="1"/>
    <col min="12" max="12" width="8.33203125" customWidth="1"/>
    <col min="13" max="13" width="11" customWidth="1"/>
    <col min="15" max="15" width="23.88671875" customWidth="1"/>
    <col min="16" max="16" width="8.33203125" customWidth="1"/>
    <col min="17" max="17" width="11" customWidth="1"/>
  </cols>
  <sheetData>
    <row r="1" spans="1:17" x14ac:dyDescent="0.2">
      <c r="A1" t="s">
        <v>36</v>
      </c>
      <c r="G1" t="s">
        <v>39</v>
      </c>
    </row>
    <row r="3" spans="1:17" x14ac:dyDescent="0.2">
      <c r="G3" s="135" t="s">
        <v>115</v>
      </c>
      <c r="H3" s="136"/>
      <c r="I3" s="137"/>
      <c r="K3" s="135" t="s">
        <v>116</v>
      </c>
      <c r="L3" s="136"/>
      <c r="M3" s="137"/>
      <c r="O3" s="135" t="s">
        <v>117</v>
      </c>
      <c r="P3" s="136"/>
      <c r="Q3" s="137"/>
    </row>
    <row r="4" spans="1:17" x14ac:dyDescent="0.2">
      <c r="A4" s="90" t="s">
        <v>27</v>
      </c>
      <c r="B4" s="90" t="s">
        <v>37</v>
      </c>
      <c r="C4" s="90" t="s">
        <v>50</v>
      </c>
      <c r="D4" s="2" t="s">
        <v>38</v>
      </c>
      <c r="E4" s="90" t="s">
        <v>51</v>
      </c>
      <c r="G4" s="90" t="s">
        <v>40</v>
      </c>
      <c r="H4" s="90" t="s">
        <v>37</v>
      </c>
      <c r="I4" s="2" t="s">
        <v>38</v>
      </c>
      <c r="K4" s="90" t="s">
        <v>40</v>
      </c>
      <c r="L4" s="90" t="s">
        <v>37</v>
      </c>
      <c r="M4" s="2" t="s">
        <v>38</v>
      </c>
      <c r="O4" s="90" t="s">
        <v>40</v>
      </c>
      <c r="P4" s="90" t="s">
        <v>37</v>
      </c>
      <c r="Q4" s="2" t="s">
        <v>38</v>
      </c>
    </row>
    <row r="5" spans="1:17" x14ac:dyDescent="0.2">
      <c r="A5" s="91" t="s">
        <v>112</v>
      </c>
      <c r="B5" s="2">
        <f>IF(入力画面!D12&lt;551000,1,"")</f>
        <v>1</v>
      </c>
      <c r="C5" s="2"/>
      <c r="D5" s="2">
        <v>0</v>
      </c>
      <c r="E5" s="2"/>
      <c r="G5" s="91" t="s">
        <v>41</v>
      </c>
      <c r="H5" s="2" t="str">
        <f>IF(AND(OR(J5=4,J5=5),入力画面!H12&lt;3300000),1,"")</f>
        <v/>
      </c>
      <c r="I5" s="2">
        <f>IF(入力画面!H12&lt;1100000,0,入力画面!H12-1100000)</f>
        <v>0</v>
      </c>
      <c r="J5" s="92">
        <v>1</v>
      </c>
      <c r="K5" s="91" t="s">
        <v>41</v>
      </c>
      <c r="L5" s="2" t="str">
        <f>IF(AND(OR(J5=4,J5=5),入力画面!H12&lt;3300000),1,"")</f>
        <v/>
      </c>
      <c r="M5" s="2">
        <f>IF(入力画面!H12&lt;1000000,0,入力画面!H12-1000000)</f>
        <v>0</v>
      </c>
      <c r="O5" s="91" t="s">
        <v>41</v>
      </c>
      <c r="P5" s="2" t="str">
        <f>IF(AND(OR(J5=4,J5=5),入力画面!H12&lt;3300000),1,"")</f>
        <v/>
      </c>
      <c r="Q5" s="2">
        <f>IF(入力画面!H12&lt;900000,0,入力画面!H12-900000)</f>
        <v>0</v>
      </c>
    </row>
    <row r="6" spans="1:17" x14ac:dyDescent="0.2">
      <c r="A6" s="91" t="s">
        <v>28</v>
      </c>
      <c r="B6" s="2" t="str">
        <f>IF(AND(入力画面!D12&gt;=551000,入力画面!D12&lt;1619000),1,"")</f>
        <v/>
      </c>
      <c r="C6" s="2"/>
      <c r="D6" s="67">
        <f>入力画面!D12-550000</f>
        <v>-550000</v>
      </c>
      <c r="E6" s="67"/>
      <c r="G6" s="91" t="s">
        <v>42</v>
      </c>
      <c r="H6" s="2" t="str">
        <f>IF(AND(OR(J5=4,J5=5),入力画面!H12&gt;=3300000,入力画面!H12&lt;4100000),1,"")</f>
        <v/>
      </c>
      <c r="I6" s="2">
        <f>INT(入力画面!H12*0.75)-275000</f>
        <v>-275000</v>
      </c>
      <c r="K6" s="91" t="s">
        <v>42</v>
      </c>
      <c r="L6" s="2" t="str">
        <f>IF(AND(OR(J5=4,J5=5),入力画面!H12&gt;=3300000,入力画面!H12&lt;4100000),1,"")</f>
        <v/>
      </c>
      <c r="M6" s="2">
        <f>INT(入力画面!H12*0.75)-175000</f>
        <v>-175000</v>
      </c>
      <c r="O6" s="91" t="s">
        <v>42</v>
      </c>
      <c r="P6" s="2" t="str">
        <f>IF(AND(OR(J5=4,J5=5),入力画面!H12&gt;=3300000,入力画面!H12&lt;4100000),1,"")</f>
        <v/>
      </c>
      <c r="Q6" s="2">
        <f>INT(入力画面!H12*0.75)-75000</f>
        <v>-75000</v>
      </c>
    </row>
    <row r="7" spans="1:17" x14ac:dyDescent="0.2">
      <c r="A7" s="91" t="s">
        <v>29</v>
      </c>
      <c r="B7" s="2" t="str">
        <f>IF(AND(入力画面!D12&gt;=1619000,入力画面!D12&lt;1620000),1,"")</f>
        <v/>
      </c>
      <c r="C7" s="2"/>
      <c r="D7" s="93">
        <v>1069000</v>
      </c>
      <c r="E7" s="2"/>
      <c r="G7" s="91" t="s">
        <v>43</v>
      </c>
      <c r="H7" s="2" t="str">
        <f>IF(AND(OR(J5=4,J5=5),入力画面!H12&gt;=4100000,入力画面!H12&lt;7700000),1,"")</f>
        <v/>
      </c>
      <c r="I7" s="2">
        <f>INT(入力画面!H12*0.85)-685000</f>
        <v>-685000</v>
      </c>
      <c r="K7" s="91" t="s">
        <v>43</v>
      </c>
      <c r="L7" s="2" t="str">
        <f>IF(AND(OR(J5=4,J5=5),入力画面!H12&gt;=4100000,入力画面!H12&lt;7700000),1,"")</f>
        <v/>
      </c>
      <c r="M7" s="2">
        <f>INT(入力画面!H12*0.85)-585000</f>
        <v>-585000</v>
      </c>
      <c r="O7" s="91" t="s">
        <v>43</v>
      </c>
      <c r="P7" s="2" t="str">
        <f>IF(AND(OR(J5=4,J5=5),入力画面!H12&gt;=4100000,入力画面!H12&lt;7700000),1,"")</f>
        <v/>
      </c>
      <c r="Q7" s="2">
        <f>INT(入力画面!H12*0.85)-485000</f>
        <v>-485000</v>
      </c>
    </row>
    <row r="8" spans="1:17" x14ac:dyDescent="0.2">
      <c r="A8" s="91" t="s">
        <v>30</v>
      </c>
      <c r="B8" s="2" t="str">
        <f>IF(AND(入力画面!D12&gt;=1620000,入力画面!D12&lt;1622000),1,"")</f>
        <v/>
      </c>
      <c r="C8" s="2"/>
      <c r="D8" s="93">
        <v>1070000</v>
      </c>
      <c r="E8" s="2"/>
      <c r="G8" s="91" t="s">
        <v>118</v>
      </c>
      <c r="H8" s="2" t="str">
        <f>IF(AND(OR(J5=4,J5=5),入力画面!H12&gt;=7700000,入力画面!H12&lt;10000000),1,"")</f>
        <v/>
      </c>
      <c r="I8" s="2">
        <f>INT(入力画面!H12*0.95)-1455000</f>
        <v>-1455000</v>
      </c>
      <c r="K8" s="91" t="s">
        <v>118</v>
      </c>
      <c r="L8" s="2" t="str">
        <f>IF(AND(OR(J5=4,J5=5),入力画面!H12&gt;=7700000,入力画面!H12&lt;10000000),1,"")</f>
        <v/>
      </c>
      <c r="M8" s="2">
        <f>INT(入力画面!H12*0.95)-1355000</f>
        <v>-1355000</v>
      </c>
      <c r="O8" s="91" t="s">
        <v>118</v>
      </c>
      <c r="P8" s="2" t="str">
        <f>IF(AND(OR(J5=4,J5=5),入力画面!H12&gt;=7700000,入力画面!H12&lt;10000000),1,"")</f>
        <v/>
      </c>
      <c r="Q8" s="2">
        <f>INT(入力画面!H12*0.95)-1255000</f>
        <v>-1255000</v>
      </c>
    </row>
    <row r="9" spans="1:17" x14ac:dyDescent="0.2">
      <c r="A9" s="91" t="s">
        <v>31</v>
      </c>
      <c r="B9" s="2" t="str">
        <f>IF(AND(入力画面!D12&gt;=1622000,入力画面!D12&lt;1624000),1,"")</f>
        <v/>
      </c>
      <c r="C9" s="2"/>
      <c r="D9" s="93">
        <v>1072000</v>
      </c>
      <c r="E9" s="2"/>
      <c r="G9" s="91" t="s">
        <v>119</v>
      </c>
      <c r="H9" s="2" t="str">
        <f>IF(AND(OR(J5=4,J5=5),入力画面!H12&gt;=10000000),1,"")</f>
        <v/>
      </c>
      <c r="I9" s="2">
        <f>IF(入力画面!H12&lt;1955000,0,入力画面!H12-1955000)</f>
        <v>0</v>
      </c>
      <c r="K9" s="91" t="s">
        <v>119</v>
      </c>
      <c r="L9" s="2" t="str">
        <f>IF(AND(OR(J5=4,J5=5),入力画面!H12&gt;=10000000),1,"")</f>
        <v/>
      </c>
      <c r="M9" s="2">
        <f>IF(入力画面!H12&lt;1855000,0,入力画面!H12-1855000)</f>
        <v>0</v>
      </c>
      <c r="O9" s="91" t="s">
        <v>119</v>
      </c>
      <c r="P9" s="2" t="str">
        <f>IF(AND(OR(J5=4,J5=5),入力画面!H12&gt;=10000000),1,"")</f>
        <v/>
      </c>
      <c r="Q9" s="2">
        <f>IF(入力画面!H12&lt;1755000,0,入力画面!H12-1755000)</f>
        <v>0</v>
      </c>
    </row>
    <row r="10" spans="1:17" x14ac:dyDescent="0.2">
      <c r="A10" s="91" t="s">
        <v>32</v>
      </c>
      <c r="B10" s="2" t="str">
        <f>IF(AND(入力画面!D12&gt;=1624000,入力画面!D12&lt;1628000),1,"")</f>
        <v/>
      </c>
      <c r="C10" s="2"/>
      <c r="D10" s="93">
        <v>1074000</v>
      </c>
      <c r="E10" s="2"/>
      <c r="G10" s="91" t="s">
        <v>44</v>
      </c>
      <c r="H10" s="2" t="str">
        <f>IF(AND(OR(J5=2,J5=3,J5=6),入力画面!H12&lt;1300000),1,"")</f>
        <v/>
      </c>
      <c r="I10" s="2">
        <f>IF(入力画面!H12&lt;600000,0,入力画面!H12-600000)</f>
        <v>0</v>
      </c>
      <c r="K10" s="91" t="s">
        <v>44</v>
      </c>
      <c r="L10" s="2" t="str">
        <f>IF(AND(OR(J5=2,J5=3,J5=6),入力画面!H12&lt;1300000),1,"")</f>
        <v/>
      </c>
      <c r="M10" s="2">
        <f>IF(入力画面!H12&lt;500000,0,入力画面!H12-500000)</f>
        <v>0</v>
      </c>
      <c r="O10" s="91" t="s">
        <v>44</v>
      </c>
      <c r="P10" s="2" t="str">
        <f>IF(AND(OR(J5=2,J5=3,J5=6),入力画面!H12&lt;1300000),1,"")</f>
        <v/>
      </c>
      <c r="Q10" s="2">
        <f>IF(入力画面!H12&lt;400000,0,入力画面!H12-400000)</f>
        <v>0</v>
      </c>
    </row>
    <row r="11" spans="1:17" x14ac:dyDescent="0.2">
      <c r="A11" s="91" t="s">
        <v>33</v>
      </c>
      <c r="B11" s="2" t="str">
        <f>IF(AND(入力画面!D12&gt;=1628000,入力画面!D12&lt;1804000),1,"")</f>
        <v/>
      </c>
      <c r="C11" s="2"/>
      <c r="D11" s="2">
        <f>(INT(入力画面!D12/4000)*4000)*0.6+100000</f>
        <v>100000</v>
      </c>
      <c r="E11" s="2"/>
      <c r="G11" s="91" t="s">
        <v>45</v>
      </c>
      <c r="H11" s="2" t="str">
        <f>IF(AND(OR(J5=2,J5=3,J5=6),入力画面!H12&gt;=1300000,入力画面!H12&lt;4100000),1,"")</f>
        <v/>
      </c>
      <c r="I11" s="2">
        <f>INT(入力画面!H12*0.75)-275000</f>
        <v>-275000</v>
      </c>
      <c r="K11" s="91" t="s">
        <v>45</v>
      </c>
      <c r="L11" s="2" t="str">
        <f>IF(AND(OR(J5=2,J5=3,J5=6),入力画面!H12&gt;=1300000,入力画面!H12&lt;4100000),1,"")</f>
        <v/>
      </c>
      <c r="M11" s="2">
        <f>INT(入力画面!H12*0.75)-175000</f>
        <v>-175000</v>
      </c>
      <c r="O11" s="91" t="s">
        <v>45</v>
      </c>
      <c r="P11" s="2" t="str">
        <f>IF(AND(OR(J5=2,J5=3,J5=6),入力画面!H12&gt;=1300000,入力画面!H12&lt;4100000),1,"")</f>
        <v/>
      </c>
      <c r="Q11" s="2">
        <f>INT(入力画面!H12*0.75)-75000</f>
        <v>-75000</v>
      </c>
    </row>
    <row r="12" spans="1:17" x14ac:dyDescent="0.2">
      <c r="A12" s="91" t="s">
        <v>34</v>
      </c>
      <c r="B12" s="2" t="str">
        <f>IF(AND(入力画面!D12&gt;=1804000,入力画面!D12&lt;3604000),1,"")</f>
        <v/>
      </c>
      <c r="C12" s="2"/>
      <c r="D12" s="2">
        <f>(INT(入力画面!D12/4000)*4000)*0.7-80000</f>
        <v>-80000</v>
      </c>
      <c r="E12" s="2"/>
      <c r="G12" s="91" t="s">
        <v>46</v>
      </c>
      <c r="H12" s="2" t="str">
        <f>IF(AND(OR(J5=2,J5=3,J5=6),入力画面!H12&gt;=4100000,入力画面!H12&lt;7700000),1,"")</f>
        <v/>
      </c>
      <c r="I12" s="2">
        <f>(入力画面!H12*0.85)-685000</f>
        <v>-685000</v>
      </c>
      <c r="K12" s="91" t="s">
        <v>46</v>
      </c>
      <c r="L12" s="2" t="str">
        <f>IF(AND(OR(J5=2,J5=3,J5=6),入力画面!H12&gt;=4100000,入力画面!H12&lt;7700000),1,"")</f>
        <v/>
      </c>
      <c r="M12" s="2">
        <f>(入力画面!H12*0.85)-585000</f>
        <v>-585000</v>
      </c>
      <c r="O12" s="91" t="s">
        <v>46</v>
      </c>
      <c r="P12" s="2" t="str">
        <f>IF(AND(OR(J5=2,J5=3,J5=6),入力画面!H12&gt;=4100000,入力画面!H12&lt;7700000),1,"")</f>
        <v/>
      </c>
      <c r="Q12" s="2">
        <f>(入力画面!H12*0.85)-485000</f>
        <v>-485000</v>
      </c>
    </row>
    <row r="13" spans="1:17" x14ac:dyDescent="0.2">
      <c r="A13" s="91" t="s">
        <v>35</v>
      </c>
      <c r="B13" s="2" t="str">
        <f>IF(AND(入力画面!D12&gt;=3604000,入力画面!D12&lt;6600000),1,"")</f>
        <v/>
      </c>
      <c r="C13" s="2"/>
      <c r="D13" s="2">
        <f>(INT(入力画面!D12/4000)*4000)*0.8-440000</f>
        <v>-440000</v>
      </c>
      <c r="E13" s="2"/>
      <c r="G13" s="91" t="s">
        <v>120</v>
      </c>
      <c r="H13" s="2" t="str">
        <f>IF(AND(OR(J5=2,J5=3,J5=6),入力画面!H12&gt;=7700000,入力画面!H12&lt;10000000),1,"")</f>
        <v/>
      </c>
      <c r="I13" s="2">
        <f>INT(入力画面!H12*0.95)-1455000</f>
        <v>-1455000</v>
      </c>
      <c r="K13" s="91" t="s">
        <v>120</v>
      </c>
      <c r="L13" s="2" t="str">
        <f>IF(AND(OR(J5=2,J5=3,J5=6),入力画面!H12&gt;=7700000,入力画面!H12&lt;10000000),1,"")</f>
        <v/>
      </c>
      <c r="M13" s="2">
        <f>INT(入力画面!H12*0.95)-1355000</f>
        <v>-1355000</v>
      </c>
      <c r="O13" s="91" t="s">
        <v>120</v>
      </c>
      <c r="P13" s="2" t="str">
        <f>IF(AND(OR(J5=2,J5=3,J5=6),入力画面!H12&gt;=7700000,入力画面!H12&lt;10000000),1,"")</f>
        <v/>
      </c>
      <c r="Q13" s="2">
        <f>INT(入力画面!H12*0.95)-1255000</f>
        <v>-1255000</v>
      </c>
    </row>
    <row r="14" spans="1:17" x14ac:dyDescent="0.2">
      <c r="A14" s="91" t="s">
        <v>114</v>
      </c>
      <c r="B14" s="2" t="str">
        <f>IF(AND(入力画面!D12&gt;=6600000,入力画面!D12&lt;8500000),1,"")</f>
        <v/>
      </c>
      <c r="C14" s="2"/>
      <c r="D14" s="2">
        <f>INT(入力画面!D12*0.9)-1100000</f>
        <v>-1100000</v>
      </c>
      <c r="E14" s="2"/>
      <c r="G14" s="91" t="s">
        <v>121</v>
      </c>
      <c r="H14" s="2" t="str">
        <f>IF(AND(OR(J5=2,J5=3,J5=6),入力画面!H12&gt;=10000000),1,"")</f>
        <v/>
      </c>
      <c r="I14" s="2">
        <f>IF(入力画面!H12&lt;1955000,0,入力画面!H12-1955000)</f>
        <v>0</v>
      </c>
      <c r="K14" s="91" t="s">
        <v>121</v>
      </c>
      <c r="L14" s="2" t="str">
        <f>IF(AND(OR(J5=2,J5=3,J5=6),入力画面!H12&gt;=10000000),1,"")</f>
        <v/>
      </c>
      <c r="M14" s="2">
        <f>IF(入力画面!H12&lt;1855000,0,入力画面!H12-1855000)</f>
        <v>0</v>
      </c>
      <c r="O14" s="91" t="s">
        <v>121</v>
      </c>
      <c r="P14" s="2" t="str">
        <f>IF(AND(OR(J5=2,J5=3,J5=6),入力画面!H12&gt;=10000000),1,"")</f>
        <v/>
      </c>
      <c r="Q14" s="2">
        <f>IF(入力画面!H12&lt;1755000,0,入力画面!H12-1755000)</f>
        <v>0</v>
      </c>
    </row>
    <row r="15" spans="1:17" x14ac:dyDescent="0.2">
      <c r="A15" s="91" t="s">
        <v>113</v>
      </c>
      <c r="B15" s="2" t="str">
        <f>IF(入力画面!D12&gt;=8500000,1,"")</f>
        <v/>
      </c>
      <c r="C15" s="2"/>
      <c r="D15" s="67">
        <f>入力画面!D12-1950000</f>
        <v>-1950000</v>
      </c>
      <c r="E15" s="2"/>
    </row>
    <row r="16" spans="1:17" x14ac:dyDescent="0.2">
      <c r="A16" s="94"/>
      <c r="G16" s="135" t="s">
        <v>115</v>
      </c>
      <c r="H16" s="136"/>
      <c r="I16" s="137"/>
      <c r="K16" s="135" t="s">
        <v>116</v>
      </c>
      <c r="L16" s="136"/>
      <c r="M16" s="137"/>
      <c r="O16" s="135" t="s">
        <v>117</v>
      </c>
      <c r="P16" s="136"/>
      <c r="Q16" s="137"/>
    </row>
    <row r="17" spans="1:17" x14ac:dyDescent="0.2">
      <c r="A17" s="90" t="s">
        <v>27</v>
      </c>
      <c r="B17" s="90" t="s">
        <v>37</v>
      </c>
      <c r="C17" s="90" t="s">
        <v>50</v>
      </c>
      <c r="D17" s="2" t="s">
        <v>38</v>
      </c>
      <c r="E17" s="90" t="s">
        <v>51</v>
      </c>
      <c r="G17" s="90" t="s">
        <v>40</v>
      </c>
      <c r="H17" s="90" t="s">
        <v>37</v>
      </c>
      <c r="I17" s="2" t="s">
        <v>38</v>
      </c>
      <c r="K17" s="90" t="s">
        <v>40</v>
      </c>
      <c r="L17" s="90" t="s">
        <v>37</v>
      </c>
      <c r="M17" s="2" t="s">
        <v>38</v>
      </c>
      <c r="O17" s="90" t="s">
        <v>40</v>
      </c>
      <c r="P17" s="90" t="s">
        <v>37</v>
      </c>
      <c r="Q17" s="2" t="s">
        <v>38</v>
      </c>
    </row>
    <row r="18" spans="1:17" x14ac:dyDescent="0.2">
      <c r="A18" s="91" t="s">
        <v>112</v>
      </c>
      <c r="B18" s="2">
        <f>IF(入力画面!D13&lt;551000,1,"")</f>
        <v>1</v>
      </c>
      <c r="C18" s="2"/>
      <c r="D18" s="2">
        <v>0</v>
      </c>
      <c r="E18" s="2"/>
      <c r="G18" s="91" t="s">
        <v>41</v>
      </c>
      <c r="H18" s="2" t="str">
        <f>IF(AND(OR(J18=4),入力画面!H13&lt;3300000),1,"")</f>
        <v/>
      </c>
      <c r="I18" s="2">
        <f>IF(入力画面!H13&lt;1100000,0,入力画面!H13-1100000)</f>
        <v>0</v>
      </c>
      <c r="J18" s="92">
        <v>1</v>
      </c>
      <c r="K18" s="91" t="s">
        <v>41</v>
      </c>
      <c r="L18" s="2" t="str">
        <f>IF(AND(OR(J18=4),入力画面!H13&lt;3300000),1,"")</f>
        <v/>
      </c>
      <c r="M18" s="2">
        <f>IF(入力画面!H13&lt;1000000,0,入力画面!H13-1000000)</f>
        <v>0</v>
      </c>
      <c r="O18" s="91" t="s">
        <v>41</v>
      </c>
      <c r="P18" s="2" t="str">
        <f>IF(AND(OR(J18=4),入力画面!H13&lt;3300000),1,"")</f>
        <v/>
      </c>
      <c r="Q18" s="2">
        <f>IF(入力画面!H13&lt;900000,0,入力画面!H13-900000)</f>
        <v>0</v>
      </c>
    </row>
    <row r="19" spans="1:17" x14ac:dyDescent="0.2">
      <c r="A19" s="91" t="s">
        <v>28</v>
      </c>
      <c r="B19" s="2" t="str">
        <f>IF(AND(入力画面!D13&gt;=551000,入力画面!D13&lt;1619000),1,"")</f>
        <v/>
      </c>
      <c r="C19" s="2"/>
      <c r="D19" s="67">
        <f>入力画面!D13-550000</f>
        <v>-550000</v>
      </c>
      <c r="E19" s="2"/>
      <c r="G19" s="91" t="s">
        <v>42</v>
      </c>
      <c r="H19" s="2" t="str">
        <f>IF(AND(OR(J18=4),入力画面!H13&gt;=3300000,入力画面!H13&lt;4100000),1,"")</f>
        <v/>
      </c>
      <c r="I19" s="2">
        <f>INT(入力画面!H13*0.75)-275000</f>
        <v>-275000</v>
      </c>
      <c r="K19" s="91" t="s">
        <v>42</v>
      </c>
      <c r="L19" s="2" t="str">
        <f>IF(AND(OR(J18=4),入力画面!H13&gt;=3300000,入力画面!H13&lt;4100000),1,"")</f>
        <v/>
      </c>
      <c r="M19" s="2">
        <f>INT(入力画面!H13*0.75)-175000</f>
        <v>-175000</v>
      </c>
      <c r="O19" s="91" t="s">
        <v>42</v>
      </c>
      <c r="P19" s="2" t="str">
        <f>IF(AND(OR(J18=4),入力画面!H13&gt;=3300000,入力画面!H13&lt;4100000),1,"")</f>
        <v/>
      </c>
      <c r="Q19" s="2">
        <f>INT(入力画面!H13*0.75)-75000</f>
        <v>-75000</v>
      </c>
    </row>
    <row r="20" spans="1:17" x14ac:dyDescent="0.2">
      <c r="A20" s="91" t="s">
        <v>29</v>
      </c>
      <c r="B20" s="2" t="str">
        <f>IF(AND(入力画面!D13&gt;=1619000,入力画面!D13&lt;1620000),1,"")</f>
        <v/>
      </c>
      <c r="C20" s="2"/>
      <c r="D20" s="93">
        <v>1069000</v>
      </c>
      <c r="E20" s="2"/>
      <c r="G20" s="91" t="s">
        <v>43</v>
      </c>
      <c r="H20" s="2" t="str">
        <f>IF(AND(OR(J18=4),入力画面!H13&gt;=4100000,入力画面!H13&lt;7700000),1,"")</f>
        <v/>
      </c>
      <c r="I20" s="2">
        <f>INT(入力画面!H13*0.85)-685000</f>
        <v>-685000</v>
      </c>
      <c r="K20" s="91" t="s">
        <v>43</v>
      </c>
      <c r="L20" s="2" t="str">
        <f>IF(AND(OR(J18=4),入力画面!H13&gt;=4100000,入力画面!H13&lt;7700000),1,"")</f>
        <v/>
      </c>
      <c r="M20" s="2">
        <f>INT(入力画面!H13*0.85)-585000</f>
        <v>-585000</v>
      </c>
      <c r="O20" s="91" t="s">
        <v>43</v>
      </c>
      <c r="P20" s="2" t="str">
        <f>IF(AND(OR(J18=4),入力画面!H13&gt;=4100000,入力画面!H13&lt;7700000),1,"")</f>
        <v/>
      </c>
      <c r="Q20" s="2">
        <f>INT(入力画面!H13*0.85)-485000</f>
        <v>-485000</v>
      </c>
    </row>
    <row r="21" spans="1:17" x14ac:dyDescent="0.2">
      <c r="A21" s="91" t="s">
        <v>30</v>
      </c>
      <c r="B21" s="2" t="str">
        <f>IF(AND(入力画面!D13&gt;=1620000,入力画面!D13&lt;1622000),1,"")</f>
        <v/>
      </c>
      <c r="C21" s="2"/>
      <c r="D21" s="93">
        <v>1070000</v>
      </c>
      <c r="E21" s="2"/>
      <c r="G21" s="91" t="s">
        <v>118</v>
      </c>
      <c r="H21" s="2" t="str">
        <f>IF(AND(OR(J18=4),入力画面!H13&gt;=7700000,入力画面!H13&lt;10000000),1,"")</f>
        <v/>
      </c>
      <c r="I21" s="2">
        <f>INT(入力画面!H13*0.95)-1455000</f>
        <v>-1455000</v>
      </c>
      <c r="K21" s="91" t="s">
        <v>118</v>
      </c>
      <c r="L21" s="2" t="str">
        <f>IF(AND(OR(J18=4),入力画面!H13&gt;=7700000,入力画面!H13&lt;10000000),1,"")</f>
        <v/>
      </c>
      <c r="M21" s="2">
        <f>INT(入力画面!H13*0.95)-1355000</f>
        <v>-1355000</v>
      </c>
      <c r="O21" s="91" t="s">
        <v>118</v>
      </c>
      <c r="P21" s="2" t="str">
        <f>IF(AND(OR(J18=4),入力画面!H13&gt;=7700000,入力画面!H13&lt;10000000),1,"")</f>
        <v/>
      </c>
      <c r="Q21" s="2">
        <f>INT(入力画面!H13*0.95)-1255000</f>
        <v>-1255000</v>
      </c>
    </row>
    <row r="22" spans="1:17" x14ac:dyDescent="0.2">
      <c r="A22" s="91" t="s">
        <v>31</v>
      </c>
      <c r="B22" s="2" t="str">
        <f>IF(AND(入力画面!D13&gt;=1622000,入力画面!D13&lt;1624000),1,"")</f>
        <v/>
      </c>
      <c r="C22" s="2"/>
      <c r="D22" s="93">
        <v>1072000</v>
      </c>
      <c r="E22" s="2"/>
      <c r="G22" s="91" t="s">
        <v>119</v>
      </c>
      <c r="H22" s="2" t="str">
        <f>IF(AND(OR(J18=4),入力画面!H13&gt;=10000000),1,"")</f>
        <v/>
      </c>
      <c r="I22" s="2">
        <f>IF(入力画面!H13&lt;1955000,0,入力画面!H13-1955000)</f>
        <v>0</v>
      </c>
      <c r="K22" s="91" t="s">
        <v>119</v>
      </c>
      <c r="L22" s="2" t="str">
        <f>IF(AND(OR(J18=4),入力画面!H13&gt;=10000000),1,"")</f>
        <v/>
      </c>
      <c r="M22" s="2">
        <f>IF(入力画面!H13&lt;1855000,0,入力画面!H13-1855000)</f>
        <v>0</v>
      </c>
      <c r="O22" s="91" t="s">
        <v>119</v>
      </c>
      <c r="P22" s="2" t="str">
        <f>IF(AND(OR(J18=4),入力画面!H13&gt;=10000000),1,"")</f>
        <v/>
      </c>
      <c r="Q22" s="2">
        <f>IF(入力画面!H13&lt;1755000,0,入力画面!H13-1755000)</f>
        <v>0</v>
      </c>
    </row>
    <row r="23" spans="1:17" x14ac:dyDescent="0.2">
      <c r="A23" s="91" t="s">
        <v>32</v>
      </c>
      <c r="B23" s="2" t="str">
        <f>IF(AND(入力画面!D13&gt;=1624000,入力画面!D13&lt;1628000),1,"")</f>
        <v/>
      </c>
      <c r="C23" s="2"/>
      <c r="D23" s="93">
        <v>1074000</v>
      </c>
      <c r="E23" s="2"/>
      <c r="G23" s="91" t="s">
        <v>44</v>
      </c>
      <c r="H23" s="2" t="str">
        <f>IF(AND(OR(J18=2,J18=3,J18=5),入力画面!H13&lt;1300000),1,"")</f>
        <v/>
      </c>
      <c r="I23" s="2">
        <f>IF(入力画面!H13&lt;600000,0,入力画面!H13-600000)</f>
        <v>0</v>
      </c>
      <c r="K23" s="91" t="s">
        <v>44</v>
      </c>
      <c r="L23" s="2" t="str">
        <f>IF(AND(OR(J18=2,J18=3,J18=5),入力画面!H13&lt;1300000),1,"")</f>
        <v/>
      </c>
      <c r="M23" s="2">
        <f>IF(入力画面!H13&lt;500000,0,入力画面!H13-500000)</f>
        <v>0</v>
      </c>
      <c r="O23" s="91" t="s">
        <v>44</v>
      </c>
      <c r="P23" s="2" t="str">
        <f>IF(AND(OR(J18=2,J18=3,J18=5),入力画面!H13&lt;1300000),1,"")</f>
        <v/>
      </c>
      <c r="Q23" s="2">
        <f>IF(入力画面!H13&lt;400000,0,入力画面!H13-400000)</f>
        <v>0</v>
      </c>
    </row>
    <row r="24" spans="1:17" x14ac:dyDescent="0.2">
      <c r="A24" s="91" t="s">
        <v>33</v>
      </c>
      <c r="B24" s="2" t="str">
        <f>IF(AND(入力画面!D13&gt;=1628000,入力画面!D13&lt;1804000),1,"")</f>
        <v/>
      </c>
      <c r="C24" s="2"/>
      <c r="D24" s="2">
        <f>(INT(入力画面!D13/4000)*4000)*0.6+100000</f>
        <v>100000</v>
      </c>
      <c r="E24" s="2"/>
      <c r="G24" s="91" t="s">
        <v>45</v>
      </c>
      <c r="H24" s="2" t="str">
        <f>IF(AND(OR(J18=2,J18=3,J18=5),入力画面!H13&gt;=1300000,入力画面!H13&lt;4100000),1,"")</f>
        <v/>
      </c>
      <c r="I24" s="2">
        <f>INT(入力画面!H13*0.75)-275000</f>
        <v>-275000</v>
      </c>
      <c r="K24" s="91" t="s">
        <v>45</v>
      </c>
      <c r="L24" s="2" t="str">
        <f>IF(AND(OR(J18=2,J18=3,J18=5),入力画面!H13&gt;=1300000,入力画面!H13&lt;4100000),1,"")</f>
        <v/>
      </c>
      <c r="M24" s="2">
        <f>INT(入力画面!H13*0.75)-175000</f>
        <v>-175000</v>
      </c>
      <c r="O24" s="91" t="s">
        <v>45</v>
      </c>
      <c r="P24" s="2" t="str">
        <f>IF(AND(OR(J18=2,J18=3,J18=5),入力画面!H13&gt;=1300000,入力画面!H13&lt;4100000),1,"")</f>
        <v/>
      </c>
      <c r="Q24" s="2">
        <f>INT(入力画面!H13*0.75)-75000</f>
        <v>-75000</v>
      </c>
    </row>
    <row r="25" spans="1:17" x14ac:dyDescent="0.2">
      <c r="A25" s="91" t="s">
        <v>34</v>
      </c>
      <c r="B25" s="2" t="str">
        <f>IF(AND(入力画面!D13&gt;=1804000,入力画面!D13&lt;3604000),1,"")</f>
        <v/>
      </c>
      <c r="C25" s="2"/>
      <c r="D25" s="2">
        <f>(INT(入力画面!D13/4000)*4000)*0.7-80000</f>
        <v>-80000</v>
      </c>
      <c r="E25" s="2"/>
      <c r="G25" s="91" t="s">
        <v>46</v>
      </c>
      <c r="H25" s="2" t="str">
        <f>IF(AND(OR(J18=2,J18=3,J18=5),入力画面!H13&gt;=4100000,入力画面!H13&lt;7700000),1,"")</f>
        <v/>
      </c>
      <c r="I25" s="2">
        <f>(入力画面!H13*0.85)-685000</f>
        <v>-685000</v>
      </c>
      <c r="K25" s="91" t="s">
        <v>46</v>
      </c>
      <c r="L25" s="2" t="str">
        <f>IF(AND(OR(J18=2,J18=3,J18=5),入力画面!H13&gt;=4100000,入力画面!H13&lt;7700000),1,"")</f>
        <v/>
      </c>
      <c r="M25" s="2">
        <f>(入力画面!H13*0.85)-585000</f>
        <v>-585000</v>
      </c>
      <c r="O25" s="91" t="s">
        <v>46</v>
      </c>
      <c r="P25" s="2" t="str">
        <f>IF(AND(OR(J18=2,J18=3,J18=5),入力画面!H13&gt;=4100000,入力画面!H13&lt;7700000),1,"")</f>
        <v/>
      </c>
      <c r="Q25" s="2">
        <f>(入力画面!H13*0.85)-485000</f>
        <v>-485000</v>
      </c>
    </row>
    <row r="26" spans="1:17" x14ac:dyDescent="0.2">
      <c r="A26" s="91" t="s">
        <v>35</v>
      </c>
      <c r="B26" s="2" t="str">
        <f>IF(AND(入力画面!D13&gt;=3604000,入力画面!D13&lt;6600000),1,"")</f>
        <v/>
      </c>
      <c r="C26" s="2"/>
      <c r="D26" s="2">
        <f>(INT(入力画面!D13/4000)*4000)*0.8-440000</f>
        <v>-440000</v>
      </c>
      <c r="E26" s="2"/>
      <c r="G26" s="91" t="s">
        <v>120</v>
      </c>
      <c r="H26" s="2" t="str">
        <f>IF(AND(OR(J18=2,J18=3,J18=5),入力画面!H13&gt;=7700000,入力画面!H13&lt;10000000),1,"")</f>
        <v/>
      </c>
      <c r="I26" s="2">
        <f>INT(入力画面!H13*0.95)-1455000</f>
        <v>-1455000</v>
      </c>
      <c r="K26" s="91" t="s">
        <v>120</v>
      </c>
      <c r="L26" s="2" t="str">
        <f>IF(AND(OR(J18=2,J18=3,J18=5),入力画面!H13&gt;=7700000,入力画面!H13&lt;10000000),1,"")</f>
        <v/>
      </c>
      <c r="M26" s="2">
        <f>INT(入力画面!H13*0.95)-1355000</f>
        <v>-1355000</v>
      </c>
      <c r="O26" s="91" t="s">
        <v>120</v>
      </c>
      <c r="P26" s="2" t="str">
        <f>IF(AND(OR(J18=2,J18=3,J18=5),入力画面!H13&gt;=7700000,入力画面!H13&lt;10000000),1,"")</f>
        <v/>
      </c>
      <c r="Q26" s="2">
        <f>INT(入力画面!H13*0.95)-1255000</f>
        <v>-1255000</v>
      </c>
    </row>
    <row r="27" spans="1:17" x14ac:dyDescent="0.2">
      <c r="A27" s="91" t="s">
        <v>114</v>
      </c>
      <c r="B27" s="2" t="str">
        <f>IF(AND(入力画面!D13&gt;=6600000,入力画面!D13&lt;8500000),1,"")</f>
        <v/>
      </c>
      <c r="C27" s="2"/>
      <c r="D27" s="2">
        <f>INT(入力画面!D13*0.9)-1100000</f>
        <v>-1100000</v>
      </c>
      <c r="E27" s="2"/>
      <c r="G27" s="91" t="s">
        <v>121</v>
      </c>
      <c r="H27" s="2" t="str">
        <f>IF(AND(OR(J18=2,J18=3,J18=5),入力画面!H13&gt;=10000000),1,"")</f>
        <v/>
      </c>
      <c r="I27" s="2">
        <f>IF(入力画面!H13&lt;1955000,0,入力画面!H13-1955000)</f>
        <v>0</v>
      </c>
      <c r="K27" s="91" t="s">
        <v>121</v>
      </c>
      <c r="L27" s="2" t="str">
        <f>IF(AND(OR(J18=2,J18=3,J18=5),入力画面!H13&gt;=10000000),1,"")</f>
        <v/>
      </c>
      <c r="M27" s="2">
        <f>IF(入力画面!H13&lt;1855000,0,入力画面!H13-1855000)</f>
        <v>0</v>
      </c>
      <c r="O27" s="91" t="s">
        <v>121</v>
      </c>
      <c r="P27" s="2" t="str">
        <f>IF(AND(OR(J18=2,J18=3,J18=5),入力画面!H13&gt;=10000000),1,"")</f>
        <v/>
      </c>
      <c r="Q27" s="2">
        <f>IF(入力画面!H13&lt;1755000,0,入力画面!H13-1755000)</f>
        <v>0</v>
      </c>
    </row>
    <row r="28" spans="1:17" x14ac:dyDescent="0.2">
      <c r="A28" s="91" t="s">
        <v>113</v>
      </c>
      <c r="B28" s="2" t="str">
        <f>IF(入力画面!D13&gt;=8500000,1,"")</f>
        <v/>
      </c>
      <c r="C28" s="2"/>
      <c r="D28" s="67">
        <f>入力画面!D13-1950000</f>
        <v>-1950000</v>
      </c>
      <c r="E28" s="2"/>
    </row>
    <row r="29" spans="1:17" x14ac:dyDescent="0.2">
      <c r="G29" s="135" t="s">
        <v>115</v>
      </c>
      <c r="H29" s="136"/>
      <c r="I29" s="137"/>
      <c r="K29" s="135" t="s">
        <v>116</v>
      </c>
      <c r="L29" s="136"/>
      <c r="M29" s="137"/>
      <c r="O29" s="135" t="s">
        <v>117</v>
      </c>
      <c r="P29" s="136"/>
      <c r="Q29" s="137"/>
    </row>
    <row r="30" spans="1:17" x14ac:dyDescent="0.2">
      <c r="A30" s="90" t="s">
        <v>27</v>
      </c>
      <c r="B30" s="90" t="s">
        <v>37</v>
      </c>
      <c r="C30" s="90" t="s">
        <v>50</v>
      </c>
      <c r="D30" s="2" t="s">
        <v>38</v>
      </c>
      <c r="E30" s="90" t="s">
        <v>51</v>
      </c>
      <c r="G30" s="90" t="s">
        <v>40</v>
      </c>
      <c r="H30" s="90" t="s">
        <v>37</v>
      </c>
      <c r="I30" s="2" t="s">
        <v>38</v>
      </c>
      <c r="K30" s="90" t="s">
        <v>40</v>
      </c>
      <c r="L30" s="90" t="s">
        <v>37</v>
      </c>
      <c r="M30" s="2" t="s">
        <v>38</v>
      </c>
      <c r="O30" s="90" t="s">
        <v>40</v>
      </c>
      <c r="P30" s="90" t="s">
        <v>37</v>
      </c>
      <c r="Q30" s="2" t="s">
        <v>38</v>
      </c>
    </row>
    <row r="31" spans="1:17" x14ac:dyDescent="0.2">
      <c r="A31" s="91" t="s">
        <v>112</v>
      </c>
      <c r="B31" s="2">
        <f>IF(入力画面!D14&lt;551000,1,"")</f>
        <v>1</v>
      </c>
      <c r="C31" s="2"/>
      <c r="D31" s="2">
        <v>0</v>
      </c>
      <c r="E31" s="2"/>
      <c r="G31" s="91" t="s">
        <v>41</v>
      </c>
      <c r="H31" s="2" t="str">
        <f>IF(AND(OR(J31=4),入力画面!H14&lt;3300000),1,"")</f>
        <v/>
      </c>
      <c r="I31" s="2">
        <f>IF(入力画面!H14&lt;1100000,0,入力画面!H14-1100000)</f>
        <v>0</v>
      </c>
      <c r="J31" s="92">
        <v>1</v>
      </c>
      <c r="K31" s="91" t="s">
        <v>41</v>
      </c>
      <c r="L31" s="2" t="str">
        <f>IF(AND(OR(J31=4),入力画面!H14&lt;3300000),1,"")</f>
        <v/>
      </c>
      <c r="M31" s="2">
        <f>IF(入力画面!H14&lt;1000000,0,入力画面!H14-1000000)</f>
        <v>0</v>
      </c>
      <c r="O31" s="91" t="s">
        <v>41</v>
      </c>
      <c r="P31" s="2" t="str">
        <f>IF(AND(OR(J31=4),入力画面!H14&lt;3300000),1,"")</f>
        <v/>
      </c>
      <c r="Q31" s="2">
        <f>IF(入力画面!H14&lt;900000,0,入力画面!H14-900000)</f>
        <v>0</v>
      </c>
    </row>
    <row r="32" spans="1:17" x14ac:dyDescent="0.2">
      <c r="A32" s="91" t="s">
        <v>28</v>
      </c>
      <c r="B32" s="2" t="str">
        <f>IF(AND(入力画面!D14&gt;=551000,入力画面!D14&lt;1619000),1,"")</f>
        <v/>
      </c>
      <c r="C32" s="2"/>
      <c r="D32" s="67">
        <f>入力画面!D14-550000</f>
        <v>-550000</v>
      </c>
      <c r="E32" s="2"/>
      <c r="G32" s="91" t="s">
        <v>42</v>
      </c>
      <c r="H32" s="2" t="str">
        <f>IF(AND(OR(J31=4),入力画面!H14&gt;=3300000,入力画面!H14&lt;4100000),1,"")</f>
        <v/>
      </c>
      <c r="I32" s="2">
        <f>INT(入力画面!H14*0.75)-275000</f>
        <v>-275000</v>
      </c>
      <c r="K32" s="91" t="s">
        <v>42</v>
      </c>
      <c r="L32" s="2" t="str">
        <f>IF(AND(OR(J31=4),入力画面!H14&gt;=3300000,入力画面!H14&lt;4100000),1,"")</f>
        <v/>
      </c>
      <c r="M32" s="2">
        <f>INT(入力画面!H14*0.75)-175000</f>
        <v>-175000</v>
      </c>
      <c r="O32" s="91" t="s">
        <v>42</v>
      </c>
      <c r="P32" s="2" t="str">
        <f>IF(AND(OR(J31=4),入力画面!H14&gt;=3300000,入力画面!H14&lt;4100000),1,"")</f>
        <v/>
      </c>
      <c r="Q32" s="2">
        <f>INT(入力画面!H14*0.75)-75000</f>
        <v>-75000</v>
      </c>
    </row>
    <row r="33" spans="1:17" x14ac:dyDescent="0.2">
      <c r="A33" s="91" t="s">
        <v>29</v>
      </c>
      <c r="B33" s="2" t="str">
        <f>IF(AND(入力画面!D14&gt;=1619000,入力画面!D14&lt;1620000),1,"")</f>
        <v/>
      </c>
      <c r="C33" s="2"/>
      <c r="D33" s="93">
        <v>1069000</v>
      </c>
      <c r="E33" s="2"/>
      <c r="G33" s="91" t="s">
        <v>43</v>
      </c>
      <c r="H33" s="2" t="str">
        <f>IF(AND(OR(J31=4),入力画面!H14&gt;=4100000,入力画面!H14&lt;7700000),1,"")</f>
        <v/>
      </c>
      <c r="I33" s="2">
        <f>INT(入力画面!H14*0.85)-685000</f>
        <v>-685000</v>
      </c>
      <c r="K33" s="91" t="s">
        <v>43</v>
      </c>
      <c r="L33" s="2" t="str">
        <f>IF(AND(OR(J31=4),入力画面!H14&gt;=4100000,入力画面!H14&lt;7700000),1,"")</f>
        <v/>
      </c>
      <c r="M33" s="2">
        <f>INT(入力画面!H14*0.85)-585000</f>
        <v>-585000</v>
      </c>
      <c r="O33" s="91" t="s">
        <v>43</v>
      </c>
      <c r="P33" s="2" t="str">
        <f>IF(AND(OR(J31=4),入力画面!H14&gt;=4100000,入力画面!H14&lt;7700000),1,"")</f>
        <v/>
      </c>
      <c r="Q33" s="2">
        <f>INT(入力画面!H14*0.85)-485000</f>
        <v>-485000</v>
      </c>
    </row>
    <row r="34" spans="1:17" x14ac:dyDescent="0.2">
      <c r="A34" s="91" t="s">
        <v>30</v>
      </c>
      <c r="B34" s="2" t="str">
        <f>IF(AND(入力画面!D14&gt;=1620000,入力画面!D14&lt;1622000),1,"")</f>
        <v/>
      </c>
      <c r="C34" s="2"/>
      <c r="D34" s="93">
        <v>1070000</v>
      </c>
      <c r="E34" s="2"/>
      <c r="G34" s="91" t="s">
        <v>118</v>
      </c>
      <c r="H34" s="2" t="str">
        <f>IF(AND(OR(J31=4),入力画面!H14&gt;=7700000,入力画面!H14&lt;10000000),1,"")</f>
        <v/>
      </c>
      <c r="I34" s="2">
        <f>INT(入力画面!H14*0.95)-1455000</f>
        <v>-1455000</v>
      </c>
      <c r="K34" s="91" t="s">
        <v>118</v>
      </c>
      <c r="L34" s="2" t="str">
        <f>IF(AND(OR(J31=4),入力画面!H14&gt;=7700000,入力画面!H14&lt;10000000),1,"")</f>
        <v/>
      </c>
      <c r="M34" s="2">
        <f>INT(入力画面!H14*0.95)-1355000</f>
        <v>-1355000</v>
      </c>
      <c r="O34" s="91" t="s">
        <v>118</v>
      </c>
      <c r="P34" s="2" t="str">
        <f>IF(AND(OR(J31=4),入力画面!H14&gt;=7700000,入力画面!H14&lt;10000000),1,"")</f>
        <v/>
      </c>
      <c r="Q34" s="2">
        <f>INT(入力画面!H14*0.95)-1255000</f>
        <v>-1255000</v>
      </c>
    </row>
    <row r="35" spans="1:17" x14ac:dyDescent="0.2">
      <c r="A35" s="91" t="s">
        <v>31</v>
      </c>
      <c r="B35" s="2" t="str">
        <f>IF(AND(入力画面!D14&gt;=1622000,入力画面!D14&lt;1624000),1,"")</f>
        <v/>
      </c>
      <c r="C35" s="2"/>
      <c r="D35" s="93">
        <v>1072000</v>
      </c>
      <c r="E35" s="2"/>
      <c r="G35" s="91" t="s">
        <v>119</v>
      </c>
      <c r="H35" s="2" t="str">
        <f>IF(AND(OR(J31=4),入力画面!H14&gt;=10000000),1,"")</f>
        <v/>
      </c>
      <c r="I35" s="2">
        <f>IF(入力画面!H14&lt;1955000,0,入力画面!H14-1955000)</f>
        <v>0</v>
      </c>
      <c r="K35" s="91" t="s">
        <v>119</v>
      </c>
      <c r="L35" s="2" t="str">
        <f>IF(AND(OR(J31=4),入力画面!H14&gt;=10000000),1,"")</f>
        <v/>
      </c>
      <c r="M35" s="2">
        <f>IF(入力画面!H14&lt;1855000,0,入力画面!H14-1855000)</f>
        <v>0</v>
      </c>
      <c r="O35" s="91" t="s">
        <v>119</v>
      </c>
      <c r="P35" s="2" t="str">
        <f>IF(AND(OR(J31=4),入力画面!H14&gt;=10000000),1,"")</f>
        <v/>
      </c>
      <c r="Q35" s="2">
        <f>IF(入力画面!H14&lt;1755000,0,入力画面!H14-1755000)</f>
        <v>0</v>
      </c>
    </row>
    <row r="36" spans="1:17" x14ac:dyDescent="0.2">
      <c r="A36" s="91" t="s">
        <v>32</v>
      </c>
      <c r="B36" s="2" t="str">
        <f>IF(AND(入力画面!D14&gt;=1624000,入力画面!D14&lt;1628000),1,"")</f>
        <v/>
      </c>
      <c r="C36" s="2"/>
      <c r="D36" s="93">
        <v>1074000</v>
      </c>
      <c r="E36" s="2"/>
      <c r="G36" s="91" t="s">
        <v>44</v>
      </c>
      <c r="H36" s="2" t="str">
        <f>IF(AND(OR(J31=2,J31=3,J31=5),入力画面!H14&lt;1300000),1,"")</f>
        <v/>
      </c>
      <c r="I36" s="2">
        <f>IF(入力画面!H14&lt;600000,0,入力画面!H14-600000)</f>
        <v>0</v>
      </c>
      <c r="K36" s="91" t="s">
        <v>44</v>
      </c>
      <c r="L36" s="2" t="str">
        <f>IF(AND(OR(J31=2,J31=3,J31=5),入力画面!H14&lt;1300000),1,"")</f>
        <v/>
      </c>
      <c r="M36" s="2">
        <f>IF(入力画面!H14&lt;500000,0,入力画面!H14-500000)</f>
        <v>0</v>
      </c>
      <c r="O36" s="91" t="s">
        <v>44</v>
      </c>
      <c r="P36" s="2" t="str">
        <f>IF(AND(OR(J31=2,J31=3,J31=5),入力画面!H14&lt;1300000),1,"")</f>
        <v/>
      </c>
      <c r="Q36" s="2">
        <f>IF(入力画面!H14&lt;400000,0,入力画面!H14-400000)</f>
        <v>0</v>
      </c>
    </row>
    <row r="37" spans="1:17" x14ac:dyDescent="0.2">
      <c r="A37" s="91" t="s">
        <v>33</v>
      </c>
      <c r="B37" s="2" t="str">
        <f>IF(AND(入力画面!D14&gt;=1628000,入力画面!D14&lt;1804000),1,"")</f>
        <v/>
      </c>
      <c r="C37" s="2"/>
      <c r="D37" s="2">
        <f>(INT(入力画面!D14/4000)*4000)*0.6+100000</f>
        <v>100000</v>
      </c>
      <c r="E37" s="2"/>
      <c r="G37" s="91" t="s">
        <v>45</v>
      </c>
      <c r="H37" s="2" t="str">
        <f>IF(AND(OR(J31=2,J31=3,J31=5),入力画面!H14&gt;=1300000,入力画面!H14&lt;4100000),1,"")</f>
        <v/>
      </c>
      <c r="I37" s="2">
        <f>INT(入力画面!H14*0.75)-275000</f>
        <v>-275000</v>
      </c>
      <c r="K37" s="91" t="s">
        <v>45</v>
      </c>
      <c r="L37" s="2" t="str">
        <f>IF(AND(OR(J31=2,J31=3,J31=5),入力画面!H14&gt;=1300000,入力画面!H14&lt;4100000),1,"")</f>
        <v/>
      </c>
      <c r="M37" s="2">
        <f>INT(入力画面!H14*0.75)-175000</f>
        <v>-175000</v>
      </c>
      <c r="O37" s="91" t="s">
        <v>45</v>
      </c>
      <c r="P37" s="2" t="str">
        <f>IF(AND(OR(J31=2,J31=3,J31=5),入力画面!H14&gt;=1300000,入力画面!H14&lt;4100000),1,"")</f>
        <v/>
      </c>
      <c r="Q37" s="2">
        <f>INT(入力画面!H14*0.75)-75000</f>
        <v>-75000</v>
      </c>
    </row>
    <row r="38" spans="1:17" x14ac:dyDescent="0.2">
      <c r="A38" s="91" t="s">
        <v>34</v>
      </c>
      <c r="B38" s="2" t="str">
        <f>IF(AND(入力画面!D14&gt;=1804000,入力画面!D14&lt;3604000),1,"")</f>
        <v/>
      </c>
      <c r="C38" s="2"/>
      <c r="D38" s="2">
        <f>(INT(入力画面!D14/4000)*4000)*0.7-80000</f>
        <v>-80000</v>
      </c>
      <c r="E38" s="2"/>
      <c r="G38" s="91" t="s">
        <v>46</v>
      </c>
      <c r="H38" s="2" t="str">
        <f>IF(AND(OR(J31=2,J31=3,J31=5),入力画面!H14&gt;=4100000,入力画面!H14&lt;7700000),1,"")</f>
        <v/>
      </c>
      <c r="I38" s="2">
        <f>(入力画面!H14*0.85)-685000</f>
        <v>-685000</v>
      </c>
      <c r="K38" s="91" t="s">
        <v>46</v>
      </c>
      <c r="L38" s="2" t="str">
        <f>IF(AND(OR(J31=2,J31=3,J31=5),入力画面!H14&gt;=4100000,入力画面!H14&lt;7700000),1,"")</f>
        <v/>
      </c>
      <c r="M38" s="2">
        <f>(入力画面!H14*0.85)-585000</f>
        <v>-585000</v>
      </c>
      <c r="O38" s="91" t="s">
        <v>46</v>
      </c>
      <c r="P38" s="2" t="str">
        <f>IF(AND(OR(J31=2,J31=3,J31=5),入力画面!H14&gt;=4100000,入力画面!H14&lt;7700000),1,"")</f>
        <v/>
      </c>
      <c r="Q38" s="2">
        <f>(入力画面!H14*0.85)-485000</f>
        <v>-485000</v>
      </c>
    </row>
    <row r="39" spans="1:17" x14ac:dyDescent="0.2">
      <c r="A39" s="91" t="s">
        <v>35</v>
      </c>
      <c r="B39" s="2" t="str">
        <f>IF(AND(入力画面!D14&gt;=3604000,入力画面!D14&lt;6600000),1,"")</f>
        <v/>
      </c>
      <c r="C39" s="2"/>
      <c r="D39" s="2">
        <f>(INT(入力画面!D14/4000)*4000)*0.8-440000</f>
        <v>-440000</v>
      </c>
      <c r="E39" s="2"/>
      <c r="G39" s="91" t="s">
        <v>120</v>
      </c>
      <c r="H39" s="2" t="str">
        <f>IF(AND(OR(J31=2,J31=3,J31=5),入力画面!H14&gt;=7700000,入力画面!H14&lt;10000000),1,"")</f>
        <v/>
      </c>
      <c r="I39" s="2">
        <f>INT(入力画面!H14*0.95)-1455000</f>
        <v>-1455000</v>
      </c>
      <c r="K39" s="91" t="s">
        <v>120</v>
      </c>
      <c r="L39" s="2" t="str">
        <f>IF(AND(OR(J31=2,J31=3,J31=5),入力画面!H14&gt;=7700000,入力画面!H14&lt;10000000),1,"")</f>
        <v/>
      </c>
      <c r="M39" s="2">
        <f>INT(入力画面!H14*0.95)-1355000</f>
        <v>-1355000</v>
      </c>
      <c r="O39" s="91" t="s">
        <v>120</v>
      </c>
      <c r="P39" s="2" t="str">
        <f>IF(AND(OR(J31=2,J31=3,J31=5),入力画面!H14&gt;=7700000,入力画面!H14&lt;10000000),1,"")</f>
        <v/>
      </c>
      <c r="Q39" s="2">
        <f>INT(入力画面!H14*0.95)-1255000</f>
        <v>-1255000</v>
      </c>
    </row>
    <row r="40" spans="1:17" x14ac:dyDescent="0.2">
      <c r="A40" s="91" t="s">
        <v>114</v>
      </c>
      <c r="B40" s="2" t="str">
        <f>IF(AND(入力画面!D14&gt;=6600000,入力画面!D14&lt;8500000),1,"")</f>
        <v/>
      </c>
      <c r="C40" s="2"/>
      <c r="D40" s="2">
        <f>INT(入力画面!D14*0.9)-1100000</f>
        <v>-1100000</v>
      </c>
      <c r="E40" s="2"/>
      <c r="G40" s="91" t="s">
        <v>121</v>
      </c>
      <c r="H40" s="2" t="str">
        <f>IF(AND(OR(J31=2,J31=3,J31=5),入力画面!H14&gt;=10000000),1,"")</f>
        <v/>
      </c>
      <c r="I40" s="2">
        <f>IF(入力画面!H14&lt;1955000,0,入力画面!H14-1955000)</f>
        <v>0</v>
      </c>
      <c r="K40" s="91" t="s">
        <v>121</v>
      </c>
      <c r="L40" s="2" t="str">
        <f>IF(AND(OR(J31=2,J31=3,J31=5),入力画面!H14&gt;=10000000),1,"")</f>
        <v/>
      </c>
      <c r="M40" s="2">
        <f>IF(入力画面!H14&lt;1855000,0,入力画面!H14-1855000)</f>
        <v>0</v>
      </c>
      <c r="O40" s="91" t="s">
        <v>121</v>
      </c>
      <c r="P40" s="2" t="str">
        <f>IF(AND(OR(J31=2,J31=3,J31=5),入力画面!H14&gt;=10000000),1,"")</f>
        <v/>
      </c>
      <c r="Q40" s="2">
        <f>IF(入力画面!H14&lt;1755000,0,入力画面!H14-1755000)</f>
        <v>0</v>
      </c>
    </row>
    <row r="41" spans="1:17" x14ac:dyDescent="0.2">
      <c r="A41" s="91" t="s">
        <v>113</v>
      </c>
      <c r="B41" s="2" t="str">
        <f>IF(入力画面!D14&gt;=8500000,1,"")</f>
        <v/>
      </c>
      <c r="C41" s="2"/>
      <c r="D41" s="67">
        <f>入力画面!D14-1950000</f>
        <v>-1950000</v>
      </c>
      <c r="E41" s="2"/>
    </row>
    <row r="42" spans="1:17" x14ac:dyDescent="0.2">
      <c r="G42" s="135" t="s">
        <v>115</v>
      </c>
      <c r="H42" s="136"/>
      <c r="I42" s="137"/>
      <c r="K42" s="135" t="s">
        <v>116</v>
      </c>
      <c r="L42" s="136"/>
      <c r="M42" s="137"/>
      <c r="O42" s="135" t="s">
        <v>117</v>
      </c>
      <c r="P42" s="136"/>
      <c r="Q42" s="137"/>
    </row>
    <row r="43" spans="1:17" x14ac:dyDescent="0.2">
      <c r="A43" s="90" t="s">
        <v>27</v>
      </c>
      <c r="B43" s="90" t="s">
        <v>37</v>
      </c>
      <c r="C43" s="90" t="s">
        <v>50</v>
      </c>
      <c r="D43" s="2" t="s">
        <v>38</v>
      </c>
      <c r="E43" s="90" t="s">
        <v>51</v>
      </c>
      <c r="G43" s="90" t="s">
        <v>40</v>
      </c>
      <c r="H43" s="90" t="s">
        <v>37</v>
      </c>
      <c r="I43" s="2" t="s">
        <v>38</v>
      </c>
      <c r="K43" s="90" t="s">
        <v>40</v>
      </c>
      <c r="L43" s="90" t="s">
        <v>37</v>
      </c>
      <c r="M43" s="2" t="s">
        <v>38</v>
      </c>
      <c r="O43" s="90" t="s">
        <v>40</v>
      </c>
      <c r="P43" s="90" t="s">
        <v>37</v>
      </c>
      <c r="Q43" s="2" t="s">
        <v>38</v>
      </c>
    </row>
    <row r="44" spans="1:17" x14ac:dyDescent="0.2">
      <c r="A44" s="91" t="s">
        <v>112</v>
      </c>
      <c r="B44" s="2">
        <f>IF(入力画面!D15&lt;551000,1,"")</f>
        <v>1</v>
      </c>
      <c r="C44" s="2"/>
      <c r="D44" s="2">
        <v>0</v>
      </c>
      <c r="E44" s="2"/>
      <c r="G44" s="91" t="s">
        <v>41</v>
      </c>
      <c r="H44" s="2" t="str">
        <f>IF(AND(OR(J44=4),入力画面!H15&lt;3300000),1,"")</f>
        <v/>
      </c>
      <c r="I44" s="2">
        <f>IF(入力画面!H15&lt;1100000,0,入力画面!H15-1100000)</f>
        <v>0</v>
      </c>
      <c r="J44" s="92">
        <v>1</v>
      </c>
      <c r="K44" s="91" t="s">
        <v>41</v>
      </c>
      <c r="L44" s="2" t="str">
        <f>IF(AND(OR(J44=4),入力画面!H15&lt;3300000),1,"")</f>
        <v/>
      </c>
      <c r="M44" s="2">
        <f>IF(入力画面!H15&lt;1000000,0,入力画面!H15-1000000)</f>
        <v>0</v>
      </c>
      <c r="O44" s="91" t="s">
        <v>41</v>
      </c>
      <c r="P44" s="2" t="str">
        <f>IF(AND(OR(J44=4),入力画面!H15&lt;3300000),1,"")</f>
        <v/>
      </c>
      <c r="Q44" s="2">
        <f>IF(入力画面!H15&lt;900000,0,入力画面!H15-900000)</f>
        <v>0</v>
      </c>
    </row>
    <row r="45" spans="1:17" x14ac:dyDescent="0.2">
      <c r="A45" s="91" t="s">
        <v>28</v>
      </c>
      <c r="B45" s="2" t="str">
        <f>IF(AND(入力画面!D15&gt;=551000,入力画面!D15&lt;1619000),1,"")</f>
        <v/>
      </c>
      <c r="C45" s="2"/>
      <c r="D45" s="67">
        <f>入力画面!D15-550000</f>
        <v>-550000</v>
      </c>
      <c r="E45" s="2"/>
      <c r="G45" s="91" t="s">
        <v>42</v>
      </c>
      <c r="H45" s="2" t="str">
        <f>IF(AND(OR(J44=4),入力画面!H15&gt;=3300000,入力画面!H15&lt;4100000),1,"")</f>
        <v/>
      </c>
      <c r="I45" s="2">
        <f>INT(入力画面!H15*0.75)-275000</f>
        <v>-275000</v>
      </c>
      <c r="K45" s="91" t="s">
        <v>42</v>
      </c>
      <c r="L45" s="2" t="str">
        <f>IF(AND(OR(J44=4),入力画面!H15&gt;=3300000,入力画面!H15&lt;4100000),1,"")</f>
        <v/>
      </c>
      <c r="M45" s="2">
        <f>INT(入力画面!H15*0.75)-175000</f>
        <v>-175000</v>
      </c>
      <c r="O45" s="91" t="s">
        <v>42</v>
      </c>
      <c r="P45" s="2" t="str">
        <f>IF(AND(OR(J44=4),入力画面!H15&gt;=3300000,入力画面!H15&lt;4100000),1,"")</f>
        <v/>
      </c>
      <c r="Q45" s="2">
        <f>INT(入力画面!H15*0.75)-75000</f>
        <v>-75000</v>
      </c>
    </row>
    <row r="46" spans="1:17" x14ac:dyDescent="0.2">
      <c r="A46" s="91" t="s">
        <v>29</v>
      </c>
      <c r="B46" s="2" t="str">
        <f>IF(AND(入力画面!D15&gt;=1619000,入力画面!D15&lt;1620000),1,"")</f>
        <v/>
      </c>
      <c r="C46" s="2"/>
      <c r="D46" s="93">
        <v>1069000</v>
      </c>
      <c r="E46" s="2"/>
      <c r="G46" s="91" t="s">
        <v>43</v>
      </c>
      <c r="H46" s="2" t="str">
        <f>IF(AND(OR(J44=4),入力画面!H15&gt;=4100000,入力画面!H15&lt;7700000),1,"")</f>
        <v/>
      </c>
      <c r="I46" s="2">
        <f>INT(入力画面!H15*0.85)-685000</f>
        <v>-685000</v>
      </c>
      <c r="K46" s="91" t="s">
        <v>43</v>
      </c>
      <c r="L46" s="2" t="str">
        <f>IF(AND(OR(J44=4),入力画面!H15&gt;=4100000,入力画面!H15&lt;7700000),1,"")</f>
        <v/>
      </c>
      <c r="M46" s="2">
        <f>INT(入力画面!H15*0.85)-585000</f>
        <v>-585000</v>
      </c>
      <c r="O46" s="91" t="s">
        <v>43</v>
      </c>
      <c r="P46" s="2" t="str">
        <f>IF(AND(OR(J44=4),入力画面!H15&gt;=4100000,入力画面!H15&lt;7700000),1,"")</f>
        <v/>
      </c>
      <c r="Q46" s="2">
        <f>INT(入力画面!H15*0.85)-485000</f>
        <v>-485000</v>
      </c>
    </row>
    <row r="47" spans="1:17" x14ac:dyDescent="0.2">
      <c r="A47" s="91" t="s">
        <v>30</v>
      </c>
      <c r="B47" s="2" t="str">
        <f>IF(AND(入力画面!D15&gt;=1620000,入力画面!D15&lt;1622000),1,"")</f>
        <v/>
      </c>
      <c r="C47" s="2"/>
      <c r="D47" s="93">
        <v>1070000</v>
      </c>
      <c r="E47" s="2"/>
      <c r="G47" s="91" t="s">
        <v>118</v>
      </c>
      <c r="H47" s="2" t="str">
        <f>IF(AND(OR(J44=4),入力画面!H15&gt;=7700000,入力画面!H15&lt;10000000),1,"")</f>
        <v/>
      </c>
      <c r="I47" s="2">
        <f>INT(入力画面!H15*0.95)-1455000</f>
        <v>-1455000</v>
      </c>
      <c r="K47" s="91" t="s">
        <v>118</v>
      </c>
      <c r="L47" s="2" t="str">
        <f>IF(AND(OR(J44=4),入力画面!H15&gt;=7700000,入力画面!H15&lt;10000000),1,"")</f>
        <v/>
      </c>
      <c r="M47" s="2">
        <f>INT(入力画面!H15*0.95)-1355000</f>
        <v>-1355000</v>
      </c>
      <c r="O47" s="91" t="s">
        <v>118</v>
      </c>
      <c r="P47" s="2" t="str">
        <f>IF(AND(OR(J44=4),入力画面!H15&gt;=7700000,入力画面!H15&lt;10000000),1,"")</f>
        <v/>
      </c>
      <c r="Q47" s="2">
        <f>INT(入力画面!H15*0.95)-1255000</f>
        <v>-1255000</v>
      </c>
    </row>
    <row r="48" spans="1:17" x14ac:dyDescent="0.2">
      <c r="A48" s="91" t="s">
        <v>31</v>
      </c>
      <c r="B48" s="2" t="str">
        <f>IF(AND(入力画面!D15&gt;=1622000,入力画面!D15&lt;1624000),1,"")</f>
        <v/>
      </c>
      <c r="C48" s="2"/>
      <c r="D48" s="93">
        <v>1072000</v>
      </c>
      <c r="E48" s="2"/>
      <c r="G48" s="91" t="s">
        <v>119</v>
      </c>
      <c r="H48" s="2" t="str">
        <f>IF(AND(OR(J44=4),入力画面!H15&gt;=10000000),1,"")</f>
        <v/>
      </c>
      <c r="I48" s="2">
        <f>IF(入力画面!H15&lt;1955000,0,入力画面!H15-1955000)</f>
        <v>0</v>
      </c>
      <c r="K48" s="91" t="s">
        <v>119</v>
      </c>
      <c r="L48" s="2" t="str">
        <f>IF(AND(OR(J44=4),入力画面!H15&gt;=10000000),1,"")</f>
        <v/>
      </c>
      <c r="M48" s="2">
        <f>IF(入力画面!H15&lt;1855000,0,入力画面!H15-1855000)</f>
        <v>0</v>
      </c>
      <c r="O48" s="91" t="s">
        <v>119</v>
      </c>
      <c r="P48" s="2" t="str">
        <f>IF(AND(OR(J44=4),入力画面!H15&gt;=10000000),1,"")</f>
        <v/>
      </c>
      <c r="Q48" s="2">
        <f>IF(入力画面!H15&lt;1755000,0,入力画面!H15-1755000)</f>
        <v>0</v>
      </c>
    </row>
    <row r="49" spans="1:17" x14ac:dyDescent="0.2">
      <c r="A49" s="91" t="s">
        <v>32</v>
      </c>
      <c r="B49" s="2" t="str">
        <f>IF(AND(入力画面!D15&gt;=1624000,入力画面!D15&lt;1628000),1,"")</f>
        <v/>
      </c>
      <c r="C49" s="2"/>
      <c r="D49" s="93">
        <v>1074000</v>
      </c>
      <c r="E49" s="2"/>
      <c r="G49" s="91" t="s">
        <v>44</v>
      </c>
      <c r="H49" s="2" t="str">
        <f>IF(AND(OR(J44=2,J44=3,J44=5),入力画面!H15&lt;1300000),1,"")</f>
        <v/>
      </c>
      <c r="I49" s="2">
        <f>IF(入力画面!H15&lt;600000,0,入力画面!H15-600000)</f>
        <v>0</v>
      </c>
      <c r="K49" s="91" t="s">
        <v>44</v>
      </c>
      <c r="L49" s="2" t="str">
        <f>IF(AND(OR(J44=2,J44=3,J44=5),入力画面!H15&lt;1300000),1,"")</f>
        <v/>
      </c>
      <c r="M49" s="2">
        <f>IF(入力画面!H15&lt;500000,0,入力画面!H15-500000)</f>
        <v>0</v>
      </c>
      <c r="O49" s="91" t="s">
        <v>44</v>
      </c>
      <c r="P49" s="2" t="str">
        <f>IF(AND(OR(J44=2,J44=3,J44=5),入力画面!H15&lt;1300000),1,"")</f>
        <v/>
      </c>
      <c r="Q49" s="2">
        <f>IF(入力画面!H15&lt;400000,0,入力画面!H15-400000)</f>
        <v>0</v>
      </c>
    </row>
    <row r="50" spans="1:17" x14ac:dyDescent="0.2">
      <c r="A50" s="91" t="s">
        <v>33</v>
      </c>
      <c r="B50" s="2" t="str">
        <f>IF(AND(入力画面!D15&gt;=1628000,入力画面!D15&lt;1804000),1,"")</f>
        <v/>
      </c>
      <c r="C50" s="2"/>
      <c r="D50" s="2">
        <f>(INT(入力画面!D15/4000)*4000)*0.6+100000</f>
        <v>100000</v>
      </c>
      <c r="E50" s="2"/>
      <c r="G50" s="91" t="s">
        <v>45</v>
      </c>
      <c r="H50" s="2" t="str">
        <f>IF(AND(OR(J44=2,J44=3,J44=5),入力画面!H15&gt;=1300000,入力画面!H15&lt;4100000),1,"")</f>
        <v/>
      </c>
      <c r="I50" s="2">
        <f>INT(入力画面!H15*0.75)-275000</f>
        <v>-275000</v>
      </c>
      <c r="K50" s="91" t="s">
        <v>45</v>
      </c>
      <c r="L50" s="2" t="str">
        <f>IF(AND(OR(J44=2,J44=3,J44=5),入力画面!H15&gt;=1300000,入力画面!H15&lt;4100000),1,"")</f>
        <v/>
      </c>
      <c r="M50" s="2">
        <f>INT(入力画面!H15*0.75)-175000</f>
        <v>-175000</v>
      </c>
      <c r="O50" s="91" t="s">
        <v>45</v>
      </c>
      <c r="P50" s="2" t="str">
        <f>IF(AND(OR(J44=2,J44=3,J44=5),入力画面!H15&gt;=1300000,入力画面!H15&lt;4100000),1,"")</f>
        <v/>
      </c>
      <c r="Q50" s="2">
        <f>INT(入力画面!H15*0.75)-75000</f>
        <v>-75000</v>
      </c>
    </row>
    <row r="51" spans="1:17" x14ac:dyDescent="0.2">
      <c r="A51" s="91" t="s">
        <v>34</v>
      </c>
      <c r="B51" s="2" t="str">
        <f>IF(AND(入力画面!D15&gt;=1804000,入力画面!D15&lt;3604000),1,"")</f>
        <v/>
      </c>
      <c r="C51" s="2"/>
      <c r="D51" s="2">
        <f>(INT(入力画面!D15/4000)*4000)*0.7-80000</f>
        <v>-80000</v>
      </c>
      <c r="E51" s="2"/>
      <c r="G51" s="91" t="s">
        <v>46</v>
      </c>
      <c r="H51" s="2" t="str">
        <f>IF(AND(OR(J44=2,J44=3,J44=5),入力画面!H15&gt;=4100000,入力画面!H15&lt;7700000),1,"")</f>
        <v/>
      </c>
      <c r="I51" s="2">
        <f>(入力画面!H15*0.85)-685000</f>
        <v>-685000</v>
      </c>
      <c r="K51" s="91" t="s">
        <v>46</v>
      </c>
      <c r="L51" s="2" t="str">
        <f>IF(AND(OR(J44=2,J44=3,J44=5),入力画面!H15&gt;=4100000,入力画面!H15&lt;7700000),1,"")</f>
        <v/>
      </c>
      <c r="M51" s="2">
        <f>(入力画面!H15*0.85)-585000</f>
        <v>-585000</v>
      </c>
      <c r="O51" s="91" t="s">
        <v>46</v>
      </c>
      <c r="P51" s="2" t="str">
        <f>IF(AND(OR(J44=2,J44=3,J44=5),入力画面!H15&gt;=4100000,入力画面!H15&lt;7700000),1,"")</f>
        <v/>
      </c>
      <c r="Q51" s="2">
        <f>(入力画面!H15*0.85)-485000</f>
        <v>-485000</v>
      </c>
    </row>
    <row r="52" spans="1:17" x14ac:dyDescent="0.2">
      <c r="A52" s="91" t="s">
        <v>35</v>
      </c>
      <c r="B52" s="2" t="str">
        <f>IF(AND(入力画面!D15&gt;=3604000,入力画面!D15&lt;6600000),1,"")</f>
        <v/>
      </c>
      <c r="C52" s="2"/>
      <c r="D52" s="2">
        <f>(INT(入力画面!D15/4000)*4000)*0.8-440000</f>
        <v>-440000</v>
      </c>
      <c r="E52" s="2"/>
      <c r="G52" s="91" t="s">
        <v>120</v>
      </c>
      <c r="H52" s="2" t="str">
        <f>IF(AND(OR(J44=2,J44=3,J44=5),入力画面!H15&gt;=7700000,入力画面!H15&lt;10000000),1,"")</f>
        <v/>
      </c>
      <c r="I52" s="2">
        <f>INT(入力画面!H15*0.95)-1455000</f>
        <v>-1455000</v>
      </c>
      <c r="K52" s="91" t="s">
        <v>120</v>
      </c>
      <c r="L52" s="2" t="str">
        <f>IF(AND(OR(J44=2,J44=3,J44=5),入力画面!H15&gt;=7700000,入力画面!H15&lt;10000000),1,"")</f>
        <v/>
      </c>
      <c r="M52" s="2">
        <f>INT(入力画面!H15*0.95)-1355000</f>
        <v>-1355000</v>
      </c>
      <c r="O52" s="91" t="s">
        <v>120</v>
      </c>
      <c r="P52" s="2" t="str">
        <f>IF(AND(OR(J44=2,J44=3,J44=5),入力画面!H15&gt;=7700000,入力画面!H15&lt;10000000),1,"")</f>
        <v/>
      </c>
      <c r="Q52" s="2">
        <f>INT(入力画面!H15*0.95)-1255000</f>
        <v>-1255000</v>
      </c>
    </row>
    <row r="53" spans="1:17" x14ac:dyDescent="0.2">
      <c r="A53" s="91" t="s">
        <v>114</v>
      </c>
      <c r="B53" s="2" t="str">
        <f>IF(AND(入力画面!D15&gt;=6600000,入力画面!D15&lt;8500000),1,"")</f>
        <v/>
      </c>
      <c r="C53" s="2"/>
      <c r="D53" s="2">
        <f>INT(入力画面!D15*0.9)-1100000</f>
        <v>-1100000</v>
      </c>
      <c r="E53" s="2"/>
      <c r="G53" s="91" t="s">
        <v>121</v>
      </c>
      <c r="H53" s="2" t="str">
        <f>IF(AND(OR(J44=2,J44=3,J44=5),入力画面!H15&gt;=10000000),1,"")</f>
        <v/>
      </c>
      <c r="I53" s="2">
        <f>IF(入力画面!H15&lt;1955000,0,入力画面!H15-1955000)</f>
        <v>0</v>
      </c>
      <c r="K53" s="91" t="s">
        <v>121</v>
      </c>
      <c r="L53" s="2" t="str">
        <f>IF(AND(OR(J44=2,J44=3,J44=5),入力画面!H15&gt;=10000000),1,"")</f>
        <v/>
      </c>
      <c r="M53" s="2">
        <f>IF(入力画面!H15&lt;1855000,0,入力画面!H15-1855000)</f>
        <v>0</v>
      </c>
      <c r="O53" s="91" t="s">
        <v>121</v>
      </c>
      <c r="P53" s="2" t="str">
        <f>IF(AND(OR(J44=2,J44=3,J44=5),入力画面!H15&gt;=10000000),1,"")</f>
        <v/>
      </c>
      <c r="Q53" s="2">
        <f>IF(入力画面!H15&lt;1755000,0,入力画面!H15-1755000)</f>
        <v>0</v>
      </c>
    </row>
    <row r="54" spans="1:17" x14ac:dyDescent="0.2">
      <c r="A54" s="91" t="s">
        <v>113</v>
      </c>
      <c r="B54" s="2" t="str">
        <f>IF(入力画面!D15&gt;=8500000,1,"")</f>
        <v/>
      </c>
      <c r="C54" s="2"/>
      <c r="D54" s="67">
        <f>入力画面!D15-1950000</f>
        <v>-1950000</v>
      </c>
      <c r="E54" s="2"/>
    </row>
    <row r="55" spans="1:17" x14ac:dyDescent="0.2">
      <c r="G55" s="135" t="s">
        <v>115</v>
      </c>
      <c r="H55" s="136"/>
      <c r="I55" s="137"/>
      <c r="K55" s="135" t="s">
        <v>116</v>
      </c>
      <c r="L55" s="136"/>
      <c r="M55" s="137"/>
      <c r="O55" s="135" t="s">
        <v>117</v>
      </c>
      <c r="P55" s="136"/>
      <c r="Q55" s="137"/>
    </row>
    <row r="56" spans="1:17" x14ac:dyDescent="0.2">
      <c r="A56" s="90" t="s">
        <v>27</v>
      </c>
      <c r="B56" s="90" t="s">
        <v>37</v>
      </c>
      <c r="C56" s="90" t="s">
        <v>50</v>
      </c>
      <c r="D56" s="2" t="s">
        <v>38</v>
      </c>
      <c r="E56" s="90" t="s">
        <v>51</v>
      </c>
      <c r="G56" s="90" t="s">
        <v>40</v>
      </c>
      <c r="H56" s="90" t="s">
        <v>37</v>
      </c>
      <c r="I56" s="2" t="s">
        <v>38</v>
      </c>
      <c r="K56" s="90" t="s">
        <v>40</v>
      </c>
      <c r="L56" s="90" t="s">
        <v>37</v>
      </c>
      <c r="M56" s="2" t="s">
        <v>38</v>
      </c>
      <c r="O56" s="90" t="s">
        <v>40</v>
      </c>
      <c r="P56" s="90" t="s">
        <v>37</v>
      </c>
      <c r="Q56" s="2" t="s">
        <v>38</v>
      </c>
    </row>
    <row r="57" spans="1:17" x14ac:dyDescent="0.2">
      <c r="A57" s="91" t="s">
        <v>112</v>
      </c>
      <c r="B57" s="2">
        <f>IF(入力画面!D16&lt;551000,1,"")</f>
        <v>1</v>
      </c>
      <c r="C57" s="2"/>
      <c r="D57" s="2">
        <v>0</v>
      </c>
      <c r="E57" s="2"/>
      <c r="G57" s="91" t="s">
        <v>41</v>
      </c>
      <c r="H57" s="2" t="str">
        <f>IF(AND(OR(J57=4),入力画面!H16&lt;3300000),1,"")</f>
        <v/>
      </c>
      <c r="I57" s="2">
        <f>IF(入力画面!H16&lt;1100000,0,入力画面!H16-1100000)</f>
        <v>0</v>
      </c>
      <c r="J57" s="92">
        <v>1</v>
      </c>
      <c r="K57" s="91" t="s">
        <v>41</v>
      </c>
      <c r="L57" s="2" t="str">
        <f>IF(AND(OR(J57=4),入力画面!H16&lt;3300000),1,"")</f>
        <v/>
      </c>
      <c r="M57" s="2">
        <f>IF(入力画面!H16&lt;1000000,0,入力画面!H16-1000000)</f>
        <v>0</v>
      </c>
      <c r="O57" s="91" t="s">
        <v>41</v>
      </c>
      <c r="P57" s="2" t="str">
        <f>IF(AND(OR(J57=4),入力画面!H16&lt;3300000),1,"")</f>
        <v/>
      </c>
      <c r="Q57" s="2">
        <f>IF(入力画面!H16&lt;900000,0,入力画面!H16-900000)</f>
        <v>0</v>
      </c>
    </row>
    <row r="58" spans="1:17" x14ac:dyDescent="0.2">
      <c r="A58" s="91" t="s">
        <v>28</v>
      </c>
      <c r="B58" s="2" t="str">
        <f>IF(AND(入力画面!D16&gt;=551000,入力画面!D16&lt;1619000),1,"")</f>
        <v/>
      </c>
      <c r="C58" s="2"/>
      <c r="D58" s="67">
        <f>入力画面!D16-550000</f>
        <v>-550000</v>
      </c>
      <c r="E58" s="2"/>
      <c r="G58" s="91" t="s">
        <v>42</v>
      </c>
      <c r="H58" s="2" t="str">
        <f>IF(AND(OR(J57=4),入力画面!H16&gt;=3300000,入力画面!H16&lt;4100000),1,"")</f>
        <v/>
      </c>
      <c r="I58" s="2">
        <f>INT(入力画面!H16*0.75)-275000</f>
        <v>-275000</v>
      </c>
      <c r="K58" s="91" t="s">
        <v>42</v>
      </c>
      <c r="L58" s="2" t="str">
        <f>IF(AND(OR(J57=4),入力画面!H16&gt;=3300000,入力画面!H16&lt;4100000),1,"")</f>
        <v/>
      </c>
      <c r="M58" s="2">
        <f>INT(入力画面!H16*0.75)-175000</f>
        <v>-175000</v>
      </c>
      <c r="O58" s="91" t="s">
        <v>42</v>
      </c>
      <c r="P58" s="2" t="str">
        <f>IF(AND(OR(J57=4),入力画面!H16&gt;=3300000,入力画面!H16&lt;4100000),1,"")</f>
        <v/>
      </c>
      <c r="Q58" s="2">
        <f>INT(入力画面!H16*0.75)-75000</f>
        <v>-75000</v>
      </c>
    </row>
    <row r="59" spans="1:17" x14ac:dyDescent="0.2">
      <c r="A59" s="91" t="s">
        <v>29</v>
      </c>
      <c r="B59" s="2" t="str">
        <f>IF(AND(入力画面!D16&gt;=1619000,入力画面!D16&lt;1620000),1,"")</f>
        <v/>
      </c>
      <c r="C59" s="2"/>
      <c r="D59" s="93">
        <v>1069000</v>
      </c>
      <c r="E59" s="2"/>
      <c r="G59" s="91" t="s">
        <v>43</v>
      </c>
      <c r="H59" s="2" t="str">
        <f>IF(AND(OR(J57=4),入力画面!H16&gt;=4100000,入力画面!H16&lt;7700000),1,"")</f>
        <v/>
      </c>
      <c r="I59" s="2">
        <f>INT(入力画面!H16*0.85)-685000</f>
        <v>-685000</v>
      </c>
      <c r="K59" s="91" t="s">
        <v>43</v>
      </c>
      <c r="L59" s="2" t="str">
        <f>IF(AND(OR(J57=4),入力画面!H16&gt;=4100000,入力画面!H16&lt;7700000),1,"")</f>
        <v/>
      </c>
      <c r="M59" s="2">
        <f>INT(入力画面!H16*0.85)-585000</f>
        <v>-585000</v>
      </c>
      <c r="O59" s="91" t="s">
        <v>43</v>
      </c>
      <c r="P59" s="2" t="str">
        <f>IF(AND(OR(J57=4),入力画面!H16&gt;=4100000,入力画面!H16&lt;7700000),1,"")</f>
        <v/>
      </c>
      <c r="Q59" s="2">
        <f>INT(入力画面!H16*0.85)-485000</f>
        <v>-485000</v>
      </c>
    </row>
    <row r="60" spans="1:17" x14ac:dyDescent="0.2">
      <c r="A60" s="91" t="s">
        <v>30</v>
      </c>
      <c r="B60" s="2" t="str">
        <f>IF(AND(入力画面!D16&gt;=1620000,入力画面!D16&lt;1622000),1,"")</f>
        <v/>
      </c>
      <c r="C60" s="2"/>
      <c r="D60" s="93">
        <v>1070000</v>
      </c>
      <c r="E60" s="2"/>
      <c r="G60" s="91" t="s">
        <v>118</v>
      </c>
      <c r="H60" s="2" t="str">
        <f>IF(AND(OR(J57=4),入力画面!H16&gt;=7700000,入力画面!H16&lt;10000000),1,"")</f>
        <v/>
      </c>
      <c r="I60" s="2">
        <f>INT(入力画面!H16*0.95)-1455000</f>
        <v>-1455000</v>
      </c>
      <c r="K60" s="91" t="s">
        <v>118</v>
      </c>
      <c r="L60" s="2" t="str">
        <f>IF(AND(OR(J57=4),入力画面!H16&gt;=7700000,入力画面!H16&lt;10000000),1,"")</f>
        <v/>
      </c>
      <c r="M60" s="2">
        <f>INT(入力画面!H16*0.95)-1355000</f>
        <v>-1355000</v>
      </c>
      <c r="O60" s="91" t="s">
        <v>118</v>
      </c>
      <c r="P60" s="2" t="str">
        <f>IF(AND(OR(J57=4),入力画面!H16&gt;=7700000,入力画面!H16&lt;10000000),1,"")</f>
        <v/>
      </c>
      <c r="Q60" s="2">
        <f>INT(入力画面!H16*0.95)-1255000</f>
        <v>-1255000</v>
      </c>
    </row>
    <row r="61" spans="1:17" x14ac:dyDescent="0.2">
      <c r="A61" s="91" t="s">
        <v>31</v>
      </c>
      <c r="B61" s="2" t="str">
        <f>IF(AND(入力画面!D16&gt;=1622000,入力画面!D16&lt;1624000),1,"")</f>
        <v/>
      </c>
      <c r="C61" s="2"/>
      <c r="D61" s="93">
        <v>1072000</v>
      </c>
      <c r="E61" s="2"/>
      <c r="G61" s="91" t="s">
        <v>119</v>
      </c>
      <c r="H61" s="2" t="str">
        <f>IF(AND(OR(J57=4),入力画面!H16&gt;=10000000),1,"")</f>
        <v/>
      </c>
      <c r="I61" s="2">
        <f>IF(入力画面!H16&lt;1955000,0,入力画面!H16-1955000)</f>
        <v>0</v>
      </c>
      <c r="K61" s="91" t="s">
        <v>119</v>
      </c>
      <c r="L61" s="2" t="str">
        <f>IF(AND(OR(J57=4),入力画面!H16&gt;=10000000),1,"")</f>
        <v/>
      </c>
      <c r="M61" s="2">
        <f>IF(入力画面!H16&lt;1855000,0,入力画面!H16-1855000)</f>
        <v>0</v>
      </c>
      <c r="O61" s="91" t="s">
        <v>119</v>
      </c>
      <c r="P61" s="2" t="str">
        <f>IF(AND(OR(J57=4),入力画面!H16&gt;=10000000),1,"")</f>
        <v/>
      </c>
      <c r="Q61" s="2">
        <f>IF(入力画面!H16&lt;1755000,0,入力画面!H16-1755000)</f>
        <v>0</v>
      </c>
    </row>
    <row r="62" spans="1:17" x14ac:dyDescent="0.2">
      <c r="A62" s="91" t="s">
        <v>32</v>
      </c>
      <c r="B62" s="2" t="str">
        <f>IF(AND(入力画面!D16&gt;=1624000,入力画面!D16&lt;1628000),1,"")</f>
        <v/>
      </c>
      <c r="C62" s="2"/>
      <c r="D62" s="93">
        <v>1074000</v>
      </c>
      <c r="E62" s="2"/>
      <c r="G62" s="91" t="s">
        <v>44</v>
      </c>
      <c r="H62" s="2" t="str">
        <f>IF(AND(OR(J57=2,J57=3,J57=5),入力画面!H16&lt;1300000),1,"")</f>
        <v/>
      </c>
      <c r="I62" s="2">
        <f>IF(入力画面!H16&lt;600000,0,入力画面!H16-600000)</f>
        <v>0</v>
      </c>
      <c r="K62" s="91" t="s">
        <v>44</v>
      </c>
      <c r="L62" s="2" t="str">
        <f>IF(AND(OR(J57=2,J57=3,J57=5),入力画面!H16&lt;1300000),1,"")</f>
        <v/>
      </c>
      <c r="M62" s="2">
        <f>IF(入力画面!H16&lt;500000,0,入力画面!H16-500000)</f>
        <v>0</v>
      </c>
      <c r="O62" s="91" t="s">
        <v>44</v>
      </c>
      <c r="P62" s="2" t="str">
        <f>IF(AND(OR(J57=2,J57=3,J57=5),入力画面!H16&lt;1300000),1,"")</f>
        <v/>
      </c>
      <c r="Q62" s="2">
        <f>IF(入力画面!H16&lt;400000,0,入力画面!H16-400000)</f>
        <v>0</v>
      </c>
    </row>
    <row r="63" spans="1:17" x14ac:dyDescent="0.2">
      <c r="A63" s="91" t="s">
        <v>33</v>
      </c>
      <c r="B63" s="2" t="str">
        <f>IF(AND(入力画面!D16&gt;=1628000,入力画面!D16&lt;1804000),1,"")</f>
        <v/>
      </c>
      <c r="C63" s="2"/>
      <c r="D63" s="2">
        <f>(INT(入力画面!D16/4000)*4000)*0.6+100000</f>
        <v>100000</v>
      </c>
      <c r="E63" s="2"/>
      <c r="G63" s="91" t="s">
        <v>45</v>
      </c>
      <c r="H63" s="2" t="str">
        <f>IF(AND(OR(J57=2,J57=3,J57=5),入力画面!H16&gt;=1300000,入力画面!H16&lt;4100000),1,"")</f>
        <v/>
      </c>
      <c r="I63" s="2">
        <f>INT(入力画面!H16*0.75)-275000</f>
        <v>-275000</v>
      </c>
      <c r="K63" s="91" t="s">
        <v>45</v>
      </c>
      <c r="L63" s="2" t="str">
        <f>IF(AND(OR(J57=2,J57=3,J57=5),入力画面!H16&gt;=1300000,入力画面!H16&lt;4100000),1,"")</f>
        <v/>
      </c>
      <c r="M63" s="2">
        <f>INT(入力画面!H16*0.75)-175000</f>
        <v>-175000</v>
      </c>
      <c r="O63" s="91" t="s">
        <v>45</v>
      </c>
      <c r="P63" s="2" t="str">
        <f>IF(AND(OR(J57=2,J57=3,J57=5),入力画面!H16&gt;=1300000,入力画面!H16&lt;4100000),1,"")</f>
        <v/>
      </c>
      <c r="Q63" s="2">
        <f>INT(入力画面!H16*0.75)-75000</f>
        <v>-75000</v>
      </c>
    </row>
    <row r="64" spans="1:17" x14ac:dyDescent="0.2">
      <c r="A64" s="91" t="s">
        <v>34</v>
      </c>
      <c r="B64" s="2" t="str">
        <f>IF(AND(入力画面!D16&gt;=1804000,入力画面!D16&lt;3604000),1,"")</f>
        <v/>
      </c>
      <c r="C64" s="2"/>
      <c r="D64" s="2">
        <f>(INT(入力画面!D16/4000)*4000)*0.7-80000</f>
        <v>-80000</v>
      </c>
      <c r="E64" s="2"/>
      <c r="G64" s="91" t="s">
        <v>46</v>
      </c>
      <c r="H64" s="2" t="str">
        <f>IF(AND(OR(J57=2,J57=3,J57=5),入力画面!H16&gt;=4100000,入力画面!H16&lt;7700000),1,"")</f>
        <v/>
      </c>
      <c r="I64" s="2">
        <f>(入力画面!H16*0.85)-685000</f>
        <v>-685000</v>
      </c>
      <c r="K64" s="91" t="s">
        <v>46</v>
      </c>
      <c r="L64" s="2" t="str">
        <f>IF(AND(OR(J57=2,J57=3,J57=5),入力画面!H16&gt;=4100000,入力画面!H16&lt;7700000),1,"")</f>
        <v/>
      </c>
      <c r="M64" s="2">
        <f>(入力画面!H16*0.85)-585000</f>
        <v>-585000</v>
      </c>
      <c r="O64" s="91" t="s">
        <v>46</v>
      </c>
      <c r="P64" s="2" t="str">
        <f>IF(AND(OR(J57=2,J57=3,J57=5),入力画面!H16&gt;=4100000,入力画面!H16&lt;7700000),1,"")</f>
        <v/>
      </c>
      <c r="Q64" s="2">
        <f>(入力画面!H16*0.85)-485000</f>
        <v>-485000</v>
      </c>
    </row>
    <row r="65" spans="1:17" x14ac:dyDescent="0.2">
      <c r="A65" s="91" t="s">
        <v>35</v>
      </c>
      <c r="B65" s="2" t="str">
        <f>IF(AND(入力画面!D16&gt;=3604000,入力画面!D16&lt;6600000),1,"")</f>
        <v/>
      </c>
      <c r="C65" s="2"/>
      <c r="D65" s="2">
        <f>(INT(入力画面!D16/4000)*4000)*0.8-440000</f>
        <v>-440000</v>
      </c>
      <c r="E65" s="2"/>
      <c r="G65" s="91" t="s">
        <v>120</v>
      </c>
      <c r="H65" s="2" t="str">
        <f>IF(AND(OR(J57=2,J57=3,J57=5),入力画面!H16&gt;=7700000,入力画面!H16&lt;10000000),1,"")</f>
        <v/>
      </c>
      <c r="I65" s="2">
        <f>INT(入力画面!H16*0.95)-1455000</f>
        <v>-1455000</v>
      </c>
      <c r="K65" s="91" t="s">
        <v>120</v>
      </c>
      <c r="L65" s="2" t="str">
        <f>IF(AND(OR(J57=2,J57=3,J57=5),入力画面!H16&gt;=7700000,入力画面!H16&lt;10000000),1,"")</f>
        <v/>
      </c>
      <c r="M65" s="2">
        <f>INT(入力画面!H16*0.95)-1355000</f>
        <v>-1355000</v>
      </c>
      <c r="O65" s="91" t="s">
        <v>120</v>
      </c>
      <c r="P65" s="2" t="str">
        <f>IF(AND(OR(J57=2,J57=3,J57=5),入力画面!H16&gt;=7700000,入力画面!H16&lt;10000000),1,"")</f>
        <v/>
      </c>
      <c r="Q65" s="2">
        <f>INT(入力画面!H16*0.95)-1255000</f>
        <v>-1255000</v>
      </c>
    </row>
    <row r="66" spans="1:17" x14ac:dyDescent="0.2">
      <c r="A66" s="91" t="s">
        <v>114</v>
      </c>
      <c r="B66" s="2" t="str">
        <f>IF(AND(入力画面!D16&gt;=6600000,入力画面!D16&lt;8500000),1,"")</f>
        <v/>
      </c>
      <c r="C66" s="2"/>
      <c r="D66" s="2">
        <f>INT(入力画面!D16*0.9)-1100000</f>
        <v>-1100000</v>
      </c>
      <c r="E66" s="2"/>
      <c r="G66" s="91" t="s">
        <v>121</v>
      </c>
      <c r="H66" s="2" t="str">
        <f>IF(AND(OR(J57=2,J57=3,J57=5),入力画面!H16&gt;=10000000),1,"")</f>
        <v/>
      </c>
      <c r="I66" s="2">
        <f>IF(入力画面!H16&lt;1955000,0,入力画面!H16-1955000)</f>
        <v>0</v>
      </c>
      <c r="K66" s="91" t="s">
        <v>121</v>
      </c>
      <c r="L66" s="2" t="str">
        <f>IF(AND(OR(J57=2,J57=3,J57=5),入力画面!H16&gt;=10000000),1,"")</f>
        <v/>
      </c>
      <c r="M66" s="2">
        <f>IF(入力画面!H16&lt;1855000,0,入力画面!H16-1855000)</f>
        <v>0</v>
      </c>
      <c r="O66" s="91" t="s">
        <v>121</v>
      </c>
      <c r="P66" s="2" t="str">
        <f>IF(AND(OR(J57=2,J57=3,J57=5),入力画面!H16&gt;=10000000),1,"")</f>
        <v/>
      </c>
      <c r="Q66" s="2">
        <f>IF(入力画面!H16&lt;1755000,0,入力画面!H16-1755000)</f>
        <v>0</v>
      </c>
    </row>
    <row r="67" spans="1:17" x14ac:dyDescent="0.2">
      <c r="A67" s="91" t="s">
        <v>113</v>
      </c>
      <c r="B67" s="2" t="str">
        <f>IF(入力画面!D16&gt;=8500000,1,"")</f>
        <v/>
      </c>
      <c r="C67" s="2"/>
      <c r="D67" s="67">
        <f>入力画面!D16-1950000</f>
        <v>-1950000</v>
      </c>
      <c r="E67" s="2"/>
    </row>
    <row r="68" spans="1:17" x14ac:dyDescent="0.2">
      <c r="G68" s="135" t="s">
        <v>115</v>
      </c>
      <c r="H68" s="136"/>
      <c r="I68" s="137"/>
      <c r="K68" s="135" t="s">
        <v>116</v>
      </c>
      <c r="L68" s="136"/>
      <c r="M68" s="137"/>
      <c r="O68" s="135" t="s">
        <v>117</v>
      </c>
      <c r="P68" s="136"/>
      <c r="Q68" s="137"/>
    </row>
    <row r="69" spans="1:17" x14ac:dyDescent="0.2">
      <c r="A69" s="90" t="s">
        <v>27</v>
      </c>
      <c r="B69" s="90" t="s">
        <v>37</v>
      </c>
      <c r="C69" s="90" t="s">
        <v>50</v>
      </c>
      <c r="D69" s="2" t="s">
        <v>38</v>
      </c>
      <c r="E69" s="90" t="s">
        <v>51</v>
      </c>
      <c r="G69" s="90" t="s">
        <v>40</v>
      </c>
      <c r="H69" s="90" t="s">
        <v>37</v>
      </c>
      <c r="I69" s="2" t="s">
        <v>38</v>
      </c>
      <c r="K69" s="90" t="s">
        <v>40</v>
      </c>
      <c r="L69" s="90" t="s">
        <v>37</v>
      </c>
      <c r="M69" s="2" t="s">
        <v>38</v>
      </c>
      <c r="O69" s="90" t="s">
        <v>40</v>
      </c>
      <c r="P69" s="90" t="s">
        <v>37</v>
      </c>
      <c r="Q69" s="2" t="s">
        <v>38</v>
      </c>
    </row>
    <row r="70" spans="1:17" x14ac:dyDescent="0.2">
      <c r="A70" s="91" t="s">
        <v>112</v>
      </c>
      <c r="B70" s="2">
        <f>IF(入力画面!D17&lt;551000,1,"")</f>
        <v>1</v>
      </c>
      <c r="C70" s="2"/>
      <c r="D70" s="2">
        <v>0</v>
      </c>
      <c r="E70" s="2"/>
      <c r="G70" s="91" t="s">
        <v>41</v>
      </c>
      <c r="H70" s="2" t="str">
        <f>IF(AND(OR(J70=4),入力画面!H17&lt;3300000),1,"")</f>
        <v/>
      </c>
      <c r="I70" s="2">
        <f>IF(入力画面!H17&lt;1100000,0,入力画面!H17-1100000)</f>
        <v>0</v>
      </c>
      <c r="J70" s="92">
        <v>1</v>
      </c>
      <c r="K70" s="91" t="s">
        <v>41</v>
      </c>
      <c r="L70" s="2" t="str">
        <f>IF(AND(OR(J70=4),入力画面!H17&lt;3300000),1,"")</f>
        <v/>
      </c>
      <c r="M70" s="2">
        <f>IF(入力画面!H17&lt;1000000,0,入力画面!H17-1000000)</f>
        <v>0</v>
      </c>
      <c r="O70" s="91" t="s">
        <v>41</v>
      </c>
      <c r="P70" s="2" t="str">
        <f>IF(AND(OR(J70=4),入力画面!H17&lt;3300000),1,"")</f>
        <v/>
      </c>
      <c r="Q70" s="2">
        <f>IF(入力画面!H17&lt;900000,0,入力画面!H17-900000)</f>
        <v>0</v>
      </c>
    </row>
    <row r="71" spans="1:17" x14ac:dyDescent="0.2">
      <c r="A71" s="91" t="s">
        <v>28</v>
      </c>
      <c r="B71" s="2" t="str">
        <f>IF(AND(入力画面!D17&gt;=551000,入力画面!D17&lt;1619000),1,"")</f>
        <v/>
      </c>
      <c r="C71" s="2"/>
      <c r="D71" s="67">
        <f>入力画面!D17-550000</f>
        <v>-550000</v>
      </c>
      <c r="E71" s="67"/>
      <c r="G71" s="91" t="s">
        <v>42</v>
      </c>
      <c r="H71" s="2" t="str">
        <f>IF(AND(OR(J70=4),入力画面!H17&gt;=3300000,入力画面!H17&lt;4100000),1,"")</f>
        <v/>
      </c>
      <c r="I71" s="2">
        <f>INT(入力画面!H17*0.75)-275000</f>
        <v>-275000</v>
      </c>
      <c r="K71" s="91" t="s">
        <v>42</v>
      </c>
      <c r="L71" s="2" t="str">
        <f>IF(AND(OR(J70=4),入力画面!H17&gt;=3300000,入力画面!H17&lt;4100000),1,"")</f>
        <v/>
      </c>
      <c r="M71" s="2">
        <f>INT(入力画面!H17*0.75)-175000</f>
        <v>-175000</v>
      </c>
      <c r="O71" s="91" t="s">
        <v>42</v>
      </c>
      <c r="P71" s="2" t="str">
        <f>IF(AND(OR(J70=4),入力画面!H17&gt;=3300000,入力画面!H17&lt;4100000),1,"")</f>
        <v/>
      </c>
      <c r="Q71" s="2">
        <f>INT(入力画面!H17*0.75)-75000</f>
        <v>-75000</v>
      </c>
    </row>
    <row r="72" spans="1:17" x14ac:dyDescent="0.2">
      <c r="A72" s="91" t="s">
        <v>29</v>
      </c>
      <c r="B72" s="2" t="str">
        <f>IF(AND(入力画面!D17&gt;=1619000,入力画面!D17&lt;1620000),1,"")</f>
        <v/>
      </c>
      <c r="C72" s="2"/>
      <c r="D72" s="93">
        <v>1069000</v>
      </c>
      <c r="E72" s="2"/>
      <c r="G72" s="91" t="s">
        <v>43</v>
      </c>
      <c r="H72" s="2" t="str">
        <f>IF(AND(OR(J70=4),入力画面!H17&gt;=4100000,入力画面!H17&lt;7700000),1,"")</f>
        <v/>
      </c>
      <c r="I72" s="2">
        <f>INT(入力画面!H17*0.85)-685000</f>
        <v>-685000</v>
      </c>
      <c r="K72" s="91" t="s">
        <v>43</v>
      </c>
      <c r="L72" s="2" t="str">
        <f>IF(AND(OR(J70=4),入力画面!H17&gt;=4100000,入力画面!H17&lt;7700000),1,"")</f>
        <v/>
      </c>
      <c r="M72" s="2">
        <f>INT(入力画面!H17*0.85)-585000</f>
        <v>-585000</v>
      </c>
      <c r="O72" s="91" t="s">
        <v>43</v>
      </c>
      <c r="P72" s="2" t="str">
        <f>IF(AND(OR(J70=4),入力画面!H17&gt;=4100000,入力画面!H17&lt;7700000),1,"")</f>
        <v/>
      </c>
      <c r="Q72" s="2">
        <f>INT(入力画面!H17*0.85)-485000</f>
        <v>-485000</v>
      </c>
    </row>
    <row r="73" spans="1:17" x14ac:dyDescent="0.2">
      <c r="A73" s="91" t="s">
        <v>30</v>
      </c>
      <c r="B73" s="2" t="str">
        <f>IF(AND(入力画面!D17&gt;=1620000,入力画面!D17&lt;1622000),1,"")</f>
        <v/>
      </c>
      <c r="C73" s="2"/>
      <c r="D73" s="93">
        <v>1070000</v>
      </c>
      <c r="E73" s="2"/>
      <c r="G73" s="91" t="s">
        <v>118</v>
      </c>
      <c r="H73" s="2" t="str">
        <f>IF(AND(OR(J70=4),入力画面!H17&gt;=7700000,入力画面!H17&lt;10000000),1,"")</f>
        <v/>
      </c>
      <c r="I73" s="2">
        <f>INT(入力画面!H17*0.95)-1455000</f>
        <v>-1455000</v>
      </c>
      <c r="K73" s="91" t="s">
        <v>118</v>
      </c>
      <c r="L73" s="2" t="str">
        <f>IF(AND(OR(J70=4),入力画面!H17&gt;=7700000,入力画面!H17&lt;10000000),1,"")</f>
        <v/>
      </c>
      <c r="M73" s="2">
        <f>INT(入力画面!H17*0.95)-1355000</f>
        <v>-1355000</v>
      </c>
      <c r="O73" s="91" t="s">
        <v>118</v>
      </c>
      <c r="P73" s="2" t="str">
        <f>IF(AND(OR(J70=4),入力画面!H17&gt;=7700000,入力画面!H17&lt;10000000),1,"")</f>
        <v/>
      </c>
      <c r="Q73" s="2">
        <f>INT(入力画面!H17*0.95)-1255000</f>
        <v>-1255000</v>
      </c>
    </row>
    <row r="74" spans="1:17" x14ac:dyDescent="0.2">
      <c r="A74" s="91" t="s">
        <v>31</v>
      </c>
      <c r="B74" s="2" t="str">
        <f>IF(AND(入力画面!D17&gt;=1622000,入力画面!D17&lt;1624000),1,"")</f>
        <v/>
      </c>
      <c r="C74" s="2"/>
      <c r="D74" s="93">
        <v>1072000</v>
      </c>
      <c r="E74" s="2"/>
      <c r="G74" s="91" t="s">
        <v>119</v>
      </c>
      <c r="H74" s="2" t="str">
        <f>IF(AND(OR(J70=4),入力画面!H17&gt;=10000000),1,"")</f>
        <v/>
      </c>
      <c r="I74" s="2">
        <f>IF(入力画面!H17&lt;1955000,0,入力画面!H17-1955000)</f>
        <v>0</v>
      </c>
      <c r="K74" s="91" t="s">
        <v>119</v>
      </c>
      <c r="L74" s="2" t="str">
        <f>IF(AND(OR(J70=4),入力画面!H17&gt;=10000000),1,"")</f>
        <v/>
      </c>
      <c r="M74" s="2">
        <f>IF(入力画面!H17&lt;1855000,0,入力画面!H17-1855000)</f>
        <v>0</v>
      </c>
      <c r="O74" s="91" t="s">
        <v>119</v>
      </c>
      <c r="P74" s="2" t="str">
        <f>IF(AND(OR(J70=4),入力画面!H17&gt;=10000000),1,"")</f>
        <v/>
      </c>
      <c r="Q74" s="2">
        <f>IF(入力画面!H17&lt;1755000,0,入力画面!H17-1755000)</f>
        <v>0</v>
      </c>
    </row>
    <row r="75" spans="1:17" x14ac:dyDescent="0.2">
      <c r="A75" s="91" t="s">
        <v>32</v>
      </c>
      <c r="B75" s="2" t="str">
        <f>IF(AND(入力画面!D17&gt;=1624000,入力画面!D17&lt;1628000),1,"")</f>
        <v/>
      </c>
      <c r="C75" s="2"/>
      <c r="D75" s="93">
        <v>1074000</v>
      </c>
      <c r="E75" s="2"/>
      <c r="G75" s="91" t="s">
        <v>44</v>
      </c>
      <c r="H75" s="2" t="str">
        <f>IF(AND(OR(J70=2,J70=3,J70=5),入力画面!H17&lt;1300000),1,"")</f>
        <v/>
      </c>
      <c r="I75" s="2">
        <f>IF(入力画面!H17&lt;600000,0,入力画面!H17-600000)</f>
        <v>0</v>
      </c>
      <c r="K75" s="91" t="s">
        <v>44</v>
      </c>
      <c r="L75" s="2" t="str">
        <f>IF(AND(OR(J70=2,J70=3,J70=5),入力画面!H17&lt;1300000),1,"")</f>
        <v/>
      </c>
      <c r="M75" s="2">
        <f>IF(入力画面!H17&lt;500000,0,入力画面!H17-500000)</f>
        <v>0</v>
      </c>
      <c r="O75" s="91" t="s">
        <v>44</v>
      </c>
      <c r="P75" s="2" t="str">
        <f>IF(AND(OR(J70=2,J70=3,J70=5),入力画面!H17&lt;1300000),1,"")</f>
        <v/>
      </c>
      <c r="Q75" s="2">
        <f>IF(入力画面!H17&lt;400000,0,入力画面!H17-400000)</f>
        <v>0</v>
      </c>
    </row>
    <row r="76" spans="1:17" x14ac:dyDescent="0.2">
      <c r="A76" s="91" t="s">
        <v>33</v>
      </c>
      <c r="B76" s="2" t="str">
        <f>IF(AND(入力画面!D17&gt;=1628000,入力画面!D17&lt;1804000),1,"")</f>
        <v/>
      </c>
      <c r="C76" s="2"/>
      <c r="D76" s="2">
        <f>(INT(入力画面!D17/4000)*4000)*0.6+100000</f>
        <v>100000</v>
      </c>
      <c r="E76" s="2"/>
      <c r="G76" s="91" t="s">
        <v>45</v>
      </c>
      <c r="H76" s="2" t="str">
        <f>IF(AND(OR(J70=2,J70=3,J70=5),入力画面!H17&gt;=1300000,入力画面!H17&lt;4100000),1,"")</f>
        <v/>
      </c>
      <c r="I76" s="2">
        <f>INT(入力画面!H17*0.75)-275000</f>
        <v>-275000</v>
      </c>
      <c r="K76" s="91" t="s">
        <v>45</v>
      </c>
      <c r="L76" s="2" t="str">
        <f>IF(AND(OR(J70=2,J70=3,J70=5),入力画面!H17&gt;=1300000,入力画面!H17&lt;4100000),1,"")</f>
        <v/>
      </c>
      <c r="M76" s="2">
        <f>INT(入力画面!H17*0.75)-175000</f>
        <v>-175000</v>
      </c>
      <c r="O76" s="91" t="s">
        <v>45</v>
      </c>
      <c r="P76" s="2" t="str">
        <f>IF(AND(OR(J70=2,J70=3,J70=5),入力画面!H17&gt;=1300000,入力画面!H17&lt;4100000),1,"")</f>
        <v/>
      </c>
      <c r="Q76" s="2">
        <f>INT(入力画面!H17*0.75)-75000</f>
        <v>-75000</v>
      </c>
    </row>
    <row r="77" spans="1:17" x14ac:dyDescent="0.2">
      <c r="A77" s="91" t="s">
        <v>34</v>
      </c>
      <c r="B77" s="2" t="str">
        <f>IF(AND(入力画面!D17&gt;=1804000,入力画面!D17&lt;3604000),1,"")</f>
        <v/>
      </c>
      <c r="C77" s="2"/>
      <c r="D77" s="2">
        <f>(INT(入力画面!D17/4000)*4000)*0.7-80000</f>
        <v>-80000</v>
      </c>
      <c r="E77" s="2"/>
      <c r="G77" s="91" t="s">
        <v>46</v>
      </c>
      <c r="H77" s="2" t="str">
        <f>IF(AND(OR(J70=2,J70=3,J70=5),入力画面!H17&gt;=4100000,入力画面!H17&lt;7700000),1,"")</f>
        <v/>
      </c>
      <c r="I77" s="2">
        <f>(入力画面!H17*0.85)-685000</f>
        <v>-685000</v>
      </c>
      <c r="K77" s="91" t="s">
        <v>46</v>
      </c>
      <c r="L77" s="2" t="str">
        <f>IF(AND(OR(J70=2,J70=3,J70=5),入力画面!H17&gt;=4100000,入力画面!H17&lt;7700000),1,"")</f>
        <v/>
      </c>
      <c r="M77" s="2">
        <f>(入力画面!H17*0.85)-585000</f>
        <v>-585000</v>
      </c>
      <c r="O77" s="91" t="s">
        <v>46</v>
      </c>
      <c r="P77" s="2" t="str">
        <f>IF(AND(OR(J70=2,J70=3,J70=5),入力画面!H17&gt;=4100000,入力画面!H17&lt;7700000),1,"")</f>
        <v/>
      </c>
      <c r="Q77" s="2">
        <f>(入力画面!H17*0.85)-485000</f>
        <v>-485000</v>
      </c>
    </row>
    <row r="78" spans="1:17" x14ac:dyDescent="0.2">
      <c r="A78" s="91" t="s">
        <v>35</v>
      </c>
      <c r="B78" s="2" t="str">
        <f>IF(AND(入力画面!D17&gt;=3604000,入力画面!D17&lt;6600000),1,"")</f>
        <v/>
      </c>
      <c r="C78" s="2"/>
      <c r="D78" s="2">
        <f>(INT(入力画面!D17/4000)*4000)*0.8-440000</f>
        <v>-440000</v>
      </c>
      <c r="E78" s="2"/>
      <c r="G78" s="91" t="s">
        <v>120</v>
      </c>
      <c r="H78" s="2" t="str">
        <f>IF(AND(OR(J70=2,J70=3,J70=5),入力画面!H17&gt;=7700000,入力画面!H17&lt;10000000),1,"")</f>
        <v/>
      </c>
      <c r="I78" s="2">
        <f>INT(入力画面!H17*0.95)-1455000</f>
        <v>-1455000</v>
      </c>
      <c r="K78" s="91" t="s">
        <v>120</v>
      </c>
      <c r="L78" s="2" t="str">
        <f>IF(AND(OR(J70=2,J70=3,J70=5),入力画面!H17&gt;=7700000,入力画面!H17&lt;10000000),1,"")</f>
        <v/>
      </c>
      <c r="M78" s="2">
        <f>INT(入力画面!H17*0.95)-1355000</f>
        <v>-1355000</v>
      </c>
      <c r="O78" s="91" t="s">
        <v>120</v>
      </c>
      <c r="P78" s="2" t="str">
        <f>IF(AND(OR(J70=2,J70=3,J70=5),入力画面!H17&gt;=7700000,入力画面!H17&lt;10000000),1,"")</f>
        <v/>
      </c>
      <c r="Q78" s="2">
        <f>INT(入力画面!H17*0.95)-1255000</f>
        <v>-1255000</v>
      </c>
    </row>
    <row r="79" spans="1:17" x14ac:dyDescent="0.2">
      <c r="A79" s="91" t="s">
        <v>114</v>
      </c>
      <c r="B79" s="2" t="str">
        <f>IF(AND(入力画面!D17&gt;=6600000,入力画面!D17&lt;8500000),1,"")</f>
        <v/>
      </c>
      <c r="C79" s="2"/>
      <c r="D79" s="2">
        <f>INT(入力画面!D17*0.9)-1100000</f>
        <v>-1100000</v>
      </c>
      <c r="E79" s="2"/>
      <c r="G79" s="91" t="s">
        <v>121</v>
      </c>
      <c r="H79" s="2" t="str">
        <f>IF(AND(OR(J70=2,J70=3,J70=5),入力画面!H17&gt;=10000000),1,"")</f>
        <v/>
      </c>
      <c r="I79" s="2">
        <f>IF(入力画面!H17&lt;1955000,0,入力画面!H17-1955000)</f>
        <v>0</v>
      </c>
      <c r="K79" s="91" t="s">
        <v>121</v>
      </c>
      <c r="L79" s="2" t="str">
        <f>IF(AND(OR(J70=2,J70=3,J70=5),入力画面!H17&gt;=10000000),1,"")</f>
        <v/>
      </c>
      <c r="M79" s="2">
        <f>IF(入力画面!H17&lt;1855000,0,入力画面!H17-1855000)</f>
        <v>0</v>
      </c>
      <c r="O79" s="91" t="s">
        <v>121</v>
      </c>
      <c r="P79" s="2" t="str">
        <f>IF(AND(OR(J70=2,J70=3,J70=5),入力画面!H17&gt;=10000000),1,"")</f>
        <v/>
      </c>
      <c r="Q79" s="2">
        <f>IF(入力画面!H17&lt;1755000,0,入力画面!H17-1755000)</f>
        <v>0</v>
      </c>
    </row>
    <row r="80" spans="1:17" x14ac:dyDescent="0.2">
      <c r="A80" s="54" t="s">
        <v>113</v>
      </c>
      <c r="B80" s="2" t="str">
        <f>IF(入力画面!D17&gt;=8500000,1,"")</f>
        <v/>
      </c>
      <c r="C80" s="2"/>
      <c r="D80" s="55">
        <f>入力画面!D17-1950000</f>
        <v>-1950000</v>
      </c>
      <c r="E80" s="2"/>
    </row>
    <row r="81" s="8" customFormat="1" ht="13.8" thickBot="1" x14ac:dyDescent="0.25"/>
    <row r="82" ht="13.8" thickTop="1" x14ac:dyDescent="0.2"/>
  </sheetData>
  <sheetProtection selectLockedCells="1"/>
  <mergeCells count="18">
    <mergeCell ref="G55:I55"/>
    <mergeCell ref="G68:I68"/>
    <mergeCell ref="K55:M55"/>
    <mergeCell ref="O55:Q55"/>
    <mergeCell ref="K68:M68"/>
    <mergeCell ref="O68:Q68"/>
    <mergeCell ref="G3:I3"/>
    <mergeCell ref="K3:M3"/>
    <mergeCell ref="O3:Q3"/>
    <mergeCell ref="K16:M16"/>
    <mergeCell ref="O16:Q16"/>
    <mergeCell ref="K29:M29"/>
    <mergeCell ref="O29:Q29"/>
    <mergeCell ref="K42:M42"/>
    <mergeCell ref="O42:Q42"/>
    <mergeCell ref="G16:I16"/>
    <mergeCell ref="G29:I29"/>
    <mergeCell ref="G42:I42"/>
  </mergeCells>
  <phoneticPr fontId="6"/>
  <pageMargins left="0.75" right="0.75" top="1" bottom="1" header="0.51200000000000001" footer="0.51200000000000001"/>
  <pageSetup paperSize="9" scale="45"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28"/>
  <sheetViews>
    <sheetView workbookViewId="0">
      <selection activeCell="F8" sqref="F8"/>
    </sheetView>
  </sheetViews>
  <sheetFormatPr defaultRowHeight="13.2" x14ac:dyDescent="0.2"/>
  <cols>
    <col min="1" max="1" width="31" customWidth="1"/>
    <col min="2" max="2" width="20.44140625" customWidth="1"/>
    <col min="3" max="4" width="9" customWidth="1"/>
    <col min="5" max="5" width="23.88671875" customWidth="1"/>
    <col min="6" max="6" width="16.21875" customWidth="1"/>
    <col min="7" max="7" width="13.6640625" customWidth="1"/>
    <col min="8" max="8" width="21.109375" customWidth="1"/>
    <col min="9" max="9" width="23.88671875" customWidth="1"/>
    <col min="10" max="10" width="8.33203125" customWidth="1"/>
    <col min="11" max="11" width="11" customWidth="1"/>
    <col min="13" max="13" width="23.88671875" customWidth="1"/>
    <col min="14" max="14" width="8.33203125" customWidth="1"/>
    <col min="15" max="15" width="11" customWidth="1"/>
  </cols>
  <sheetData>
    <row r="1" spans="1:15" ht="16.2" x14ac:dyDescent="0.2">
      <c r="A1" s="25" t="s">
        <v>81</v>
      </c>
      <c r="E1" s="64" t="s">
        <v>135</v>
      </c>
      <c r="F1" s="64"/>
      <c r="G1" s="64"/>
      <c r="H1" s="64"/>
      <c r="I1" s="66"/>
      <c r="J1" s="66"/>
      <c r="K1" s="66"/>
      <c r="L1" s="66"/>
      <c r="M1" s="66"/>
      <c r="N1" s="66"/>
      <c r="O1" s="66"/>
    </row>
    <row r="2" spans="1:15" ht="16.2" x14ac:dyDescent="0.2">
      <c r="A2" s="25" t="s">
        <v>148</v>
      </c>
      <c r="E2" s="2"/>
      <c r="F2" s="2" t="s">
        <v>136</v>
      </c>
      <c r="G2" s="2" t="s">
        <v>137</v>
      </c>
      <c r="H2" s="65" t="s">
        <v>138</v>
      </c>
      <c r="I2" s="73"/>
    </row>
    <row r="3" spans="1:15" ht="12.75" customHeight="1" x14ac:dyDescent="0.2">
      <c r="A3" s="25" t="s">
        <v>61</v>
      </c>
      <c r="E3" s="2" t="s">
        <v>139</v>
      </c>
      <c r="F3" s="2">
        <f>IF(入力画面!D12="",0,VLOOKUP(1,給与所得計算表!B5:D15,3))</f>
        <v>0</v>
      </c>
      <c r="G3" s="67">
        <f>IF(給与所得計算表!J5=1,0,IF(AND(プルダウン!F3+入力画面!L12&gt;10000000,入力画面!L12+プルダウン!F3&lt;=20000000),VLOOKUP(1,給与所得計算表!L5:M14,2),IF(入力画面!L12+プルダウン!F3&gt;20000000,VLOOKUP(1,給与所得計算表!P5:Q14,2),VLOOKUP(1,給与所得計算表!H5:I14,2))))</f>
        <v>0</v>
      </c>
      <c r="H3" s="65">
        <f>IF(AND(F3&gt;0,G3&gt;0),F3-(I3+K3-M3),F3)</f>
        <v>0</v>
      </c>
      <c r="I3">
        <f>IF(F3&gt;100000,100000,F3)</f>
        <v>0</v>
      </c>
      <c r="J3" t="s">
        <v>147</v>
      </c>
      <c r="K3">
        <f>IF(G3&gt;100000,100000,G3)</f>
        <v>0</v>
      </c>
      <c r="L3" t="s">
        <v>141</v>
      </c>
      <c r="M3">
        <v>100000</v>
      </c>
    </row>
    <row r="4" spans="1:15" ht="16.2" x14ac:dyDescent="0.2">
      <c r="A4" s="25" t="s">
        <v>62</v>
      </c>
      <c r="E4" s="2" t="s">
        <v>142</v>
      </c>
      <c r="F4" s="2">
        <f>IF(入力画面!D13="",0,VLOOKUP(1,給与所得計算表!B18:D28,3))</f>
        <v>0</v>
      </c>
      <c r="G4" s="67">
        <f>IF(給与所得計算表!J18=1,0,IF(AND(入力画面!L13+プルダウン!F4&gt;10000000,プルダウン!F4+入力画面!L13&lt;=20000000),VLOOKUP(1,給与所得計算表!L18:M27,2),IF(入力画面!L13+プルダウン!F4&gt;20000000,VLOOKUP(1,給与所得計算表!P18:Q27,2),VLOOKUP(1,給与所得計算表!H18:I27,2))))</f>
        <v>0</v>
      </c>
      <c r="H4" s="65">
        <f t="shared" ref="H4:H8" si="0">IF(AND(F4&gt;0,G4&gt;0),F4-(I4+K4-M4),F4)</f>
        <v>0</v>
      </c>
      <c r="I4">
        <f t="shared" ref="I4:I8" si="1">IF(F4&gt;100000,100000,F4)</f>
        <v>0</v>
      </c>
      <c r="J4" t="s">
        <v>140</v>
      </c>
      <c r="K4">
        <f t="shared" ref="K4:K8" si="2">IF(G4&gt;100000,100000,G4)</f>
        <v>0</v>
      </c>
      <c r="L4" t="s">
        <v>141</v>
      </c>
      <c r="M4">
        <v>100000</v>
      </c>
    </row>
    <row r="5" spans="1:15" ht="16.2" x14ac:dyDescent="0.2">
      <c r="A5" s="25" t="s">
        <v>150</v>
      </c>
      <c r="E5" s="2" t="s">
        <v>143</v>
      </c>
      <c r="F5" s="2">
        <f>IF(入力画面!D14="",0,VLOOKUP(1,給与所得計算表!B31:D41,3))</f>
        <v>0</v>
      </c>
      <c r="G5" s="67">
        <f>IF(給与所得計算表!J31=1,0,IF(AND(入力画面!L14+プルダウン!F5&gt;10000000,プルダウン!F5+入力画面!L14&lt;=20000000),VLOOKUP(1,給与所得計算表!L31:M40,2),IF(プルダウン!F5+入力画面!L14&gt;20000000,VLOOKUP(1,給与所得計算表!P31:Q40,2),VLOOKUP(1,給与所得計算表!H31:I40,2))))</f>
        <v>0</v>
      </c>
      <c r="H5" s="65">
        <f t="shared" si="0"/>
        <v>0</v>
      </c>
      <c r="I5">
        <f t="shared" si="1"/>
        <v>0</v>
      </c>
      <c r="J5" t="s">
        <v>140</v>
      </c>
      <c r="K5">
        <f t="shared" si="2"/>
        <v>0</v>
      </c>
      <c r="L5" t="s">
        <v>141</v>
      </c>
      <c r="M5">
        <v>100000</v>
      </c>
    </row>
    <row r="6" spans="1:15" ht="16.2" x14ac:dyDescent="0.2">
      <c r="A6" s="25" t="s">
        <v>59</v>
      </c>
      <c r="E6" s="2" t="s">
        <v>144</v>
      </c>
      <c r="F6" s="2">
        <f>IF(入力画面!D15="",0,VLOOKUP(1,給与所得計算表!B44:D54,3))</f>
        <v>0</v>
      </c>
      <c r="G6" s="67">
        <f>IF(給与所得計算表!J44=1,0,IF(AND(入力画面!L15+プルダウン!F6&gt;10000000,プルダウン!F6+入力画面!L15&lt;=20000000),VLOOKUP(1,給与所得計算表!L44:M53,2),IF(プルダウン!F6+入力画面!L15&gt;20000000,VLOOKUP(1,給与所得計算表!P44:Q53,2),VLOOKUP(1,給与所得計算表!H44:I53,2))))</f>
        <v>0</v>
      </c>
      <c r="H6" s="65">
        <f t="shared" si="0"/>
        <v>0</v>
      </c>
      <c r="I6">
        <f t="shared" si="1"/>
        <v>0</v>
      </c>
      <c r="J6" t="s">
        <v>140</v>
      </c>
      <c r="K6">
        <f t="shared" si="2"/>
        <v>0</v>
      </c>
      <c r="L6" t="s">
        <v>141</v>
      </c>
      <c r="M6">
        <v>100000</v>
      </c>
    </row>
    <row r="7" spans="1:15" ht="16.2" x14ac:dyDescent="0.2">
      <c r="A7" s="25" t="s">
        <v>60</v>
      </c>
      <c r="E7" s="2" t="s">
        <v>145</v>
      </c>
      <c r="F7" s="2">
        <f>IF(入力画面!D16="",0,VLOOKUP(1,給与所得計算表!B57:D67,3))</f>
        <v>0</v>
      </c>
      <c r="G7" s="67">
        <f>IF(給与所得計算表!J57=1,0,IF(AND(入力画面!L16+プルダウン!F7&gt;10000000,プルダウン!F7+入力画面!L16&lt;=20000000),VLOOKUP(1,給与所得計算表!L57:M66,2),IF(プルダウン!F7+入力画面!L16&gt;20000000,VLOOKUP(1,給与所得計算表!P57:Q66,2),VLOOKUP(1,給与所得計算表!H57:I66,2))))</f>
        <v>0</v>
      </c>
      <c r="H7" s="65">
        <f t="shared" si="0"/>
        <v>0</v>
      </c>
      <c r="I7">
        <f t="shared" si="1"/>
        <v>0</v>
      </c>
      <c r="J7" t="s">
        <v>140</v>
      </c>
      <c r="K7">
        <f t="shared" si="2"/>
        <v>0</v>
      </c>
      <c r="L7" t="s">
        <v>141</v>
      </c>
      <c r="M7">
        <v>100000</v>
      </c>
    </row>
    <row r="8" spans="1:15" ht="16.2" x14ac:dyDescent="0.2">
      <c r="A8" s="25"/>
      <c r="E8" s="2" t="s">
        <v>146</v>
      </c>
      <c r="F8" s="2">
        <f>IF(入力画面!D17="",0,VLOOKUP(1,給与所得計算表!B70:D80,3))</f>
        <v>0</v>
      </c>
      <c r="G8" s="67">
        <f>IF(給与所得計算表!J70=1,0,IF(AND(入力画面!L17+プルダウン!F8&gt;10000000,プルダウン!F8+入力画面!L17&lt;=20000000),VLOOKUP(1,給与所得計算表!L70:M79,2),IF(プルダウン!F8+入力画面!L17&gt;20000000,VLOOKUP(1,給与所得計算表!P70:Q79,2),VLOOKUP(1,給与所得計算表!H70:I79,2))))</f>
        <v>0</v>
      </c>
      <c r="H8" s="65">
        <f t="shared" si="0"/>
        <v>0</v>
      </c>
      <c r="I8">
        <f t="shared" si="1"/>
        <v>0</v>
      </c>
      <c r="J8" t="s">
        <v>140</v>
      </c>
      <c r="K8">
        <f t="shared" si="2"/>
        <v>0</v>
      </c>
      <c r="L8" t="s">
        <v>141</v>
      </c>
      <c r="M8">
        <v>100000</v>
      </c>
    </row>
    <row r="9" spans="1:15" ht="16.2" x14ac:dyDescent="0.2">
      <c r="A9" s="25" t="s">
        <v>80</v>
      </c>
      <c r="B9" s="1"/>
      <c r="E9" s="85" t="s">
        <v>154</v>
      </c>
      <c r="F9" s="86" t="s">
        <v>136</v>
      </c>
      <c r="G9" s="86" t="s">
        <v>137</v>
      </c>
      <c r="H9" s="86" t="s">
        <v>138</v>
      </c>
      <c r="I9" s="87" t="s">
        <v>155</v>
      </c>
    </row>
    <row r="10" spans="1:15" ht="16.2" x14ac:dyDescent="0.2">
      <c r="A10" s="25" t="s">
        <v>149</v>
      </c>
      <c r="E10" s="86" t="s">
        <v>139</v>
      </c>
      <c r="F10" s="86">
        <f>F3</f>
        <v>0</v>
      </c>
      <c r="G10" s="88">
        <f>G3-IF(OR(給与所得計算表!J5=4,給与所得計算表!J5=5),150000,0)</f>
        <v>0</v>
      </c>
      <c r="H10" s="88">
        <f>F10-I10</f>
        <v>0</v>
      </c>
      <c r="I10" s="89">
        <f>MAX(MIN(100000,F10)+MIN(100000,G10)-100000,0)</f>
        <v>0</v>
      </c>
    </row>
    <row r="11" spans="1:15" ht="16.2" x14ac:dyDescent="0.2">
      <c r="A11" s="25" t="s">
        <v>61</v>
      </c>
      <c r="B11" s="1"/>
      <c r="E11" s="86" t="s">
        <v>142</v>
      </c>
      <c r="F11" s="86">
        <f t="shared" ref="F11:F15" si="3">F4</f>
        <v>0</v>
      </c>
      <c r="G11" s="88">
        <f>G4-IF(OR(給与所得計算表!J18=4,給与所得計算表!J18=6),150000,0)</f>
        <v>0</v>
      </c>
      <c r="H11" s="88">
        <f t="shared" ref="H11:H15" si="4">F11-I11</f>
        <v>0</v>
      </c>
      <c r="I11" s="89">
        <f t="shared" ref="I11:I15" si="5">MAX(MIN(100000,F11)+MIN(100000,G11)-100000,0)</f>
        <v>0</v>
      </c>
    </row>
    <row r="12" spans="1:15" ht="16.2" x14ac:dyDescent="0.2">
      <c r="A12" s="25" t="s">
        <v>62</v>
      </c>
      <c r="B12" s="24"/>
      <c r="E12" s="86" t="s">
        <v>143</v>
      </c>
      <c r="F12" s="86">
        <f t="shared" si="3"/>
        <v>0</v>
      </c>
      <c r="G12" s="88">
        <f>G5-IF(OR(給与所得計算表!J31=4,給与所得計算表!J31=6),150000,0)</f>
        <v>0</v>
      </c>
      <c r="H12" s="88">
        <f t="shared" si="4"/>
        <v>0</v>
      </c>
      <c r="I12" s="89">
        <f t="shared" si="5"/>
        <v>0</v>
      </c>
    </row>
    <row r="13" spans="1:15" ht="16.2" x14ac:dyDescent="0.2">
      <c r="A13" s="25" t="s">
        <v>59</v>
      </c>
      <c r="E13" s="86" t="s">
        <v>144</v>
      </c>
      <c r="F13" s="86">
        <f t="shared" si="3"/>
        <v>0</v>
      </c>
      <c r="G13" s="88">
        <f>G6-IF(OR(給与所得計算表!J44=4,給与所得計算表!J44=6),150000,0)</f>
        <v>0</v>
      </c>
      <c r="H13" s="88">
        <f t="shared" si="4"/>
        <v>0</v>
      </c>
      <c r="I13" s="89">
        <f t="shared" si="5"/>
        <v>0</v>
      </c>
    </row>
    <row r="14" spans="1:15" ht="16.2" x14ac:dyDescent="0.2">
      <c r="A14" s="25" t="s">
        <v>60</v>
      </c>
      <c r="E14" s="86" t="s">
        <v>145</v>
      </c>
      <c r="F14" s="86">
        <f t="shared" si="3"/>
        <v>0</v>
      </c>
      <c r="G14" s="88">
        <f>G7-IF(OR(給与所得計算表!J57=4,給与所得計算表!J57=6),150000,0)</f>
        <v>0</v>
      </c>
      <c r="H14" s="88">
        <f t="shared" si="4"/>
        <v>0</v>
      </c>
      <c r="I14" s="89">
        <f t="shared" si="5"/>
        <v>0</v>
      </c>
    </row>
    <row r="15" spans="1:15" x14ac:dyDescent="0.2">
      <c r="E15" s="86" t="s">
        <v>146</v>
      </c>
      <c r="F15" s="86">
        <f t="shared" si="3"/>
        <v>0</v>
      </c>
      <c r="G15" s="88">
        <f>G8-IF(OR(給与所得計算表!J70=4,給与所得計算表!J70=6),150000,0)</f>
        <v>0</v>
      </c>
      <c r="H15" s="88">
        <f t="shared" si="4"/>
        <v>0</v>
      </c>
      <c r="I15" s="89">
        <f t="shared" si="5"/>
        <v>0</v>
      </c>
    </row>
    <row r="17" spans="1:15" ht="16.2" x14ac:dyDescent="0.2">
      <c r="A17" s="141" t="s">
        <v>124</v>
      </c>
      <c r="B17" s="142"/>
      <c r="E17" s="138" t="s">
        <v>115</v>
      </c>
      <c r="F17" s="139"/>
      <c r="G17" s="140"/>
      <c r="H17" s="68"/>
      <c r="I17" s="138" t="s">
        <v>116</v>
      </c>
      <c r="J17" s="139"/>
      <c r="K17" s="140"/>
      <c r="L17" s="68"/>
      <c r="M17" s="138" t="s">
        <v>117</v>
      </c>
      <c r="N17" s="139"/>
      <c r="O17" s="140"/>
    </row>
    <row r="18" spans="1:15" ht="16.2" x14ac:dyDescent="0.2">
      <c r="A18" s="63" t="s">
        <v>125</v>
      </c>
      <c r="B18" s="63" t="s">
        <v>124</v>
      </c>
      <c r="E18" s="69" t="s">
        <v>40</v>
      </c>
      <c r="F18" s="69" t="s">
        <v>37</v>
      </c>
      <c r="G18" s="70" t="s">
        <v>38</v>
      </c>
      <c r="H18" s="68"/>
      <c r="I18" s="69" t="s">
        <v>40</v>
      </c>
      <c r="J18" s="69" t="s">
        <v>37</v>
      </c>
      <c r="K18" s="70" t="s">
        <v>38</v>
      </c>
      <c r="L18" s="68"/>
      <c r="M18" s="69" t="s">
        <v>40</v>
      </c>
      <c r="N18" s="69" t="s">
        <v>37</v>
      </c>
      <c r="O18" s="70" t="s">
        <v>38</v>
      </c>
    </row>
    <row r="19" spans="1:15" ht="16.2" x14ac:dyDescent="0.2">
      <c r="A19" s="63" t="s">
        <v>126</v>
      </c>
      <c r="B19" s="63" t="s">
        <v>130</v>
      </c>
      <c r="E19" s="71" t="s">
        <v>41</v>
      </c>
      <c r="F19" s="70" t="str">
        <f>IF(AND(OR(H19=4),入力画面!H26&lt;3300000),1,"")</f>
        <v/>
      </c>
      <c r="G19" s="70">
        <f>IF(入力画面!H26&lt;1100000,0,入力画面!H26-1100000)</f>
        <v>0</v>
      </c>
      <c r="H19" s="72">
        <v>1</v>
      </c>
      <c r="I19" s="71" t="s">
        <v>41</v>
      </c>
      <c r="J19" s="70" t="str">
        <f>IF(AND(OR(H19=4),入力画面!H26&lt;3300000),1,"")</f>
        <v/>
      </c>
      <c r="K19" s="70">
        <f>IF(入力画面!H26&lt;1000000,0,入力画面!H26-1000000)</f>
        <v>0</v>
      </c>
      <c r="L19" s="68"/>
      <c r="M19" s="71" t="s">
        <v>41</v>
      </c>
      <c r="N19" s="70" t="str">
        <f>IF(AND(OR(H19=4),入力画面!H26&lt;3300000),1,"")</f>
        <v/>
      </c>
      <c r="O19" s="70">
        <f>IF(入力画面!H26&lt;900000,0,入力画面!H26-900000)</f>
        <v>0</v>
      </c>
    </row>
    <row r="20" spans="1:15" ht="16.2" customHeight="1" x14ac:dyDescent="0.2">
      <c r="A20" s="63" t="s">
        <v>129</v>
      </c>
      <c r="B20" s="63" t="s">
        <v>131</v>
      </c>
      <c r="E20" s="71" t="s">
        <v>42</v>
      </c>
      <c r="F20" s="70" t="str">
        <f>IF(AND(OR(H19=4),入力画面!H26&gt;=3300000,入力画面!H26&lt;4100000),1,"")</f>
        <v/>
      </c>
      <c r="G20" s="70">
        <f>INT(入力画面!H26*0.75)-275000</f>
        <v>-275000</v>
      </c>
      <c r="H20" s="68"/>
      <c r="I20" s="71" t="s">
        <v>42</v>
      </c>
      <c r="J20" s="70" t="str">
        <f>IF(AND(OR(H19=4),入力画面!H26&gt;=3300000,入力画面!H26&lt;4100000),1,"")</f>
        <v/>
      </c>
      <c r="K20" s="70">
        <f>INT(入力画面!H26*0.75)-175000</f>
        <v>-175000</v>
      </c>
      <c r="L20" s="68"/>
      <c r="M20" s="71" t="s">
        <v>42</v>
      </c>
      <c r="N20" s="70" t="str">
        <f>IF(AND(OR(H19=4),入力画面!H26&gt;=3300000,入力画面!H26&lt;4100000),1,"")</f>
        <v/>
      </c>
      <c r="O20" s="70">
        <f>INT(入力画面!H26*0.75)-75000</f>
        <v>-75000</v>
      </c>
    </row>
    <row r="21" spans="1:15" ht="16.2" x14ac:dyDescent="0.2">
      <c r="A21" s="63" t="s">
        <v>127</v>
      </c>
      <c r="B21" s="63" t="s">
        <v>132</v>
      </c>
      <c r="E21" s="71" t="s">
        <v>43</v>
      </c>
      <c r="F21" s="70" t="str">
        <f>IF(AND(OR(H19=4),入力画面!H26&gt;=4100000,入力画面!H26&lt;7700000),1,"")</f>
        <v/>
      </c>
      <c r="G21" s="70">
        <f>INT(入力画面!H26*0.85)-685000</f>
        <v>-685000</v>
      </c>
      <c r="H21" s="68"/>
      <c r="I21" s="71" t="s">
        <v>43</v>
      </c>
      <c r="J21" s="70" t="str">
        <f>IF(AND(OR(H19=4),入力画面!H26&gt;=4100000,入力画面!H26&lt;7700000),1,"")</f>
        <v/>
      </c>
      <c r="K21" s="70">
        <f>INT(入力画面!H26*0.85)-585000</f>
        <v>-585000</v>
      </c>
      <c r="L21" s="68"/>
      <c r="M21" s="71" t="s">
        <v>43</v>
      </c>
      <c r="N21" s="70" t="str">
        <f>IF(AND(OR(H19=4),入力画面!H26&gt;=4100000,入力画面!H26&lt;7700000),1,"")</f>
        <v/>
      </c>
      <c r="O21" s="70">
        <f>INT(入力画面!H26*0.85)-485000</f>
        <v>-485000</v>
      </c>
    </row>
    <row r="22" spans="1:15" ht="16.2" x14ac:dyDescent="0.2">
      <c r="A22" s="63" t="s">
        <v>128</v>
      </c>
      <c r="B22" s="63" t="s">
        <v>133</v>
      </c>
      <c r="E22" s="71" t="s">
        <v>118</v>
      </c>
      <c r="F22" s="70" t="str">
        <f>IF(AND(OR(H19=4),入力画面!H26&gt;=7700000,入力画面!H26&lt;10000000),1,"")</f>
        <v/>
      </c>
      <c r="G22" s="70">
        <f>INT(入力画面!H26*0.95)-1455000</f>
        <v>-1455000</v>
      </c>
      <c r="H22" s="68"/>
      <c r="I22" s="71" t="s">
        <v>118</v>
      </c>
      <c r="J22" s="70" t="str">
        <f>IF(AND(OR(H19=4),入力画面!H26&gt;=7700000,入力画面!H26&lt;10000000),1,"")</f>
        <v/>
      </c>
      <c r="K22" s="70">
        <f>INT(入力画面!H26*0.95)-1355000</f>
        <v>-1355000</v>
      </c>
      <c r="L22" s="68"/>
      <c r="M22" s="71" t="s">
        <v>118</v>
      </c>
      <c r="N22" s="70" t="str">
        <f>IF(AND(OR(H19=4),入力画面!H26&gt;=7700000,入力画面!H26&lt;10000000),1,"")</f>
        <v/>
      </c>
      <c r="O22" s="70">
        <f>INT(入力画面!H26*0.95)-1255000</f>
        <v>-1255000</v>
      </c>
    </row>
    <row r="23" spans="1:15" x14ac:dyDescent="0.2">
      <c r="E23" s="71" t="s">
        <v>119</v>
      </c>
      <c r="F23" s="70" t="str">
        <f>IF(AND(OR(H19=4),入力画面!H26&gt;=10000000),1,"")</f>
        <v/>
      </c>
      <c r="G23" s="70">
        <f>IF(入力画面!H26&lt;1955000,0,入力画面!H26-1955000)</f>
        <v>0</v>
      </c>
      <c r="H23" s="68"/>
      <c r="I23" s="71" t="s">
        <v>119</v>
      </c>
      <c r="J23" s="70" t="str">
        <f>IF(AND(OR(H19=4),入力画面!H26&gt;=10000000),1,"")</f>
        <v/>
      </c>
      <c r="K23" s="70">
        <f>IF(入力画面!H26&lt;1855000,0,入力画面!H26-1855000)</f>
        <v>0</v>
      </c>
      <c r="L23" s="68"/>
      <c r="M23" s="71" t="s">
        <v>119</v>
      </c>
      <c r="N23" s="70" t="str">
        <f>IF(AND(OR(H19=4),入力画面!H26&gt;=10000000),1,"")</f>
        <v/>
      </c>
      <c r="O23" s="70">
        <f>IF(入力画面!H26&lt;1755000,0,入力画面!H26-1755000)</f>
        <v>0</v>
      </c>
    </row>
    <row r="24" spans="1:15" ht="16.2" x14ac:dyDescent="0.2">
      <c r="A24" s="25" t="s">
        <v>134</v>
      </c>
      <c r="E24" s="71" t="s">
        <v>44</v>
      </c>
      <c r="F24" s="70" t="str">
        <f>IF(AND(OR(H19=2,H19=3,H19=5),入力画面!H26&lt;1300000),1,"")</f>
        <v/>
      </c>
      <c r="G24" s="70">
        <f>IF(入力画面!H26&lt;600000,0,入力画面!H26-600000)</f>
        <v>0</v>
      </c>
      <c r="H24" s="68"/>
      <c r="I24" s="71" t="s">
        <v>44</v>
      </c>
      <c r="J24" s="70" t="str">
        <f>IF(AND(OR(H19=2,H19=3,H19=5),入力画面!H26&lt;1300000),1,"")</f>
        <v/>
      </c>
      <c r="K24" s="70">
        <f>IF(入力画面!H26&lt;500000,0,入力画面!H26-500000)</f>
        <v>0</v>
      </c>
      <c r="L24" s="68"/>
      <c r="M24" s="71" t="s">
        <v>44</v>
      </c>
      <c r="N24" s="70" t="str">
        <f>IF(AND(OR(H19=2,H19=3,H19=5),入力画面!H26&lt;1300000),1,"")</f>
        <v/>
      </c>
      <c r="O24" s="70">
        <f>IF(入力画面!H26&lt;400000,0,入力画面!H26-400000)</f>
        <v>0</v>
      </c>
    </row>
    <row r="25" spans="1:15" x14ac:dyDescent="0.2">
      <c r="E25" s="71" t="s">
        <v>45</v>
      </c>
      <c r="F25" s="70" t="str">
        <f>IF(AND(OR(H19=2,H19=3,H19=5),入力画面!H26&gt;=1300000,入力画面!H26&lt;4100000),1,"")</f>
        <v/>
      </c>
      <c r="G25" s="70">
        <f>INT(入力画面!H26*0.75)-275000</f>
        <v>-275000</v>
      </c>
      <c r="H25" s="68"/>
      <c r="I25" s="71" t="s">
        <v>45</v>
      </c>
      <c r="J25" s="70" t="str">
        <f>IF(AND(OR(H19=2,H19=3,H19=5),入力画面!H26&gt;=1300000,入力画面!H26&lt;4100000),1,"")</f>
        <v/>
      </c>
      <c r="K25" s="70">
        <f>INT(入力画面!H26*0.75)-175000</f>
        <v>-175000</v>
      </c>
      <c r="L25" s="68"/>
      <c r="M25" s="71" t="s">
        <v>45</v>
      </c>
      <c r="N25" s="70" t="str">
        <f>IF(AND(OR(H19=2,H19=3,H19=5),入力画面!H26&gt;=1300000,入力画面!H26&lt;4100000),1,"")</f>
        <v/>
      </c>
      <c r="O25" s="70">
        <f>INT(入力画面!H26*0.75)-75000</f>
        <v>-75000</v>
      </c>
    </row>
    <row r="26" spans="1:15" x14ac:dyDescent="0.2">
      <c r="E26" s="71" t="s">
        <v>46</v>
      </c>
      <c r="F26" s="70" t="str">
        <f>IF(AND(OR(H19=2,H19=3,H19=5),入力画面!H26&gt;=4100000,入力画面!H26&lt;7700000),1,"")</f>
        <v/>
      </c>
      <c r="G26" s="70">
        <f>(入力画面!H26*0.85)-685000</f>
        <v>-685000</v>
      </c>
      <c r="H26" s="68"/>
      <c r="I26" s="71" t="s">
        <v>46</v>
      </c>
      <c r="J26" s="70" t="str">
        <f>IF(AND(OR(H19=2,H19=3,H19=5),入力画面!H26&gt;=4100000,入力画面!H26&lt;7700000),1,"")</f>
        <v/>
      </c>
      <c r="K26" s="70">
        <f>(入力画面!H26*0.85)-585000</f>
        <v>-585000</v>
      </c>
      <c r="L26" s="68"/>
      <c r="M26" s="71" t="s">
        <v>46</v>
      </c>
      <c r="N26" s="70" t="str">
        <f>IF(AND(OR(H19=2,H19=3,H19=5),入力画面!H26&gt;=4100000,入力画面!H26&lt;7700000),1,"")</f>
        <v/>
      </c>
      <c r="O26" s="70">
        <f>(入力画面!H26*0.85)-485000</f>
        <v>-485000</v>
      </c>
    </row>
    <row r="27" spans="1:15" x14ac:dyDescent="0.2">
      <c r="E27" s="71" t="s">
        <v>120</v>
      </c>
      <c r="F27" s="70" t="str">
        <f>IF(AND(OR(H19=2,H19=3,H19=5),入力画面!H26&gt;=7700000,入力画面!H26&lt;10000000),1,"")</f>
        <v/>
      </c>
      <c r="G27" s="70">
        <f>INT(入力画面!H26*0.95)-1455000</f>
        <v>-1455000</v>
      </c>
      <c r="H27" s="68"/>
      <c r="I27" s="71" t="s">
        <v>120</v>
      </c>
      <c r="J27" s="70" t="str">
        <f>IF(AND(OR(H19=2,H19=3,H19=5),入力画面!H26&gt;=7700000,入力画面!H26&lt;10000000),1,"")</f>
        <v/>
      </c>
      <c r="K27" s="70">
        <f>INT(入力画面!H26*0.95)-1355000</f>
        <v>-1355000</v>
      </c>
      <c r="L27" s="68"/>
      <c r="M27" s="71" t="s">
        <v>120</v>
      </c>
      <c r="N27" s="70" t="str">
        <f>IF(AND(OR(H19=2,H19=3,H19=5),入力画面!H26&gt;=7700000,入力画面!H26&lt;10000000),1,"")</f>
        <v/>
      </c>
      <c r="O27" s="70">
        <f>INT(入力画面!H26*0.95)-1255000</f>
        <v>-1255000</v>
      </c>
    </row>
    <row r="28" spans="1:15" x14ac:dyDescent="0.2">
      <c r="E28" s="71" t="s">
        <v>121</v>
      </c>
      <c r="F28" s="70" t="str">
        <f>IF(AND(OR(H19=2,H19=3,H19=5),入力画面!H26&gt;=10000000),1,"")</f>
        <v/>
      </c>
      <c r="G28" s="70">
        <f>IF(入力画面!H26&lt;1955000,0,入力画面!H26-1955000)</f>
        <v>0</v>
      </c>
      <c r="H28" s="68"/>
      <c r="I28" s="71" t="s">
        <v>121</v>
      </c>
      <c r="J28" s="70" t="str">
        <f>IF(AND(OR(H19=2,H19=3,H19=5),入力画面!H26&gt;=10000000),1,"")</f>
        <v/>
      </c>
      <c r="K28" s="70">
        <f>IF(入力画面!H26&lt;1855000,0,入力画面!H26-1855000)</f>
        <v>0</v>
      </c>
      <c r="L28" s="68"/>
      <c r="M28" s="71" t="s">
        <v>121</v>
      </c>
      <c r="N28" s="70" t="str">
        <f>IF(AND(OR(H19=2,H19=3,H19=5),入力画面!H26&gt;=10000000),1,"")</f>
        <v/>
      </c>
      <c r="O28" s="70">
        <f>IF(入力画面!H26&lt;1755000,0,入力画面!H26-1755000)</f>
        <v>0</v>
      </c>
    </row>
  </sheetData>
  <sheetProtection selectLockedCells="1"/>
  <mergeCells count="4">
    <mergeCell ref="E17:G17"/>
    <mergeCell ref="I17:K17"/>
    <mergeCell ref="M17:O17"/>
    <mergeCell ref="A17:B17"/>
  </mergeCells>
  <phoneticPr fontId="6"/>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入力画面</vt:lpstr>
      <vt:lpstr>給与所得計算表</vt:lpstr>
      <vt:lpstr>プルダウン</vt:lpstr>
      <vt:lpstr>入力画面!Print_Area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W013909</dc:creator>
  <cp:lastModifiedBy>Administrator</cp:lastModifiedBy>
  <cp:lastPrinted>2022-03-24T07:50:55Z</cp:lastPrinted>
  <dcterms:created xsi:type="dcterms:W3CDTF">2021-03-23T07:29:37Z</dcterms:created>
  <dcterms:modified xsi:type="dcterms:W3CDTF">2025-03-19T01:37:39Z</dcterms:modified>
</cp:coreProperties>
</file>